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4" yWindow="72" windowWidth="15876" windowHeight="8448" activeTab="1"/>
  </bookViews>
  <sheets>
    <sheet name="A" sheetId="4" r:id="rId1"/>
    <sheet name="B" sheetId="1" r:id="rId2"/>
    <sheet name="C" sheetId="2" r:id="rId3"/>
    <sheet name="D" sheetId="5" r:id="rId4"/>
  </sheets>
  <definedNames>
    <definedName name="_xlnm.Print_Area" localSheetId="1">B!$A$1:$AL$142</definedName>
  </definedNames>
  <calcPr calcId="145621"/>
</workbook>
</file>

<file path=xl/calcChain.xml><?xml version="1.0" encoding="utf-8"?>
<calcChain xmlns="http://schemas.openxmlformats.org/spreadsheetml/2006/main">
  <c r="G100" i="1" l="1"/>
  <c r="J102" i="1"/>
  <c r="F102" i="1"/>
  <c r="F97" i="1"/>
  <c r="G97" i="1" s="1"/>
  <c r="G93" i="1"/>
  <c r="G92" i="1"/>
  <c r="F59" i="1"/>
  <c r="F63" i="1" s="1"/>
  <c r="D59" i="1"/>
  <c r="G73" i="1" s="1"/>
  <c r="G74" i="1" s="1"/>
  <c r="F58" i="1"/>
  <c r="F72" i="1" s="1"/>
  <c r="D58" i="1"/>
  <c r="F57" i="1"/>
  <c r="D57" i="1"/>
  <c r="D64" i="1" s="1"/>
  <c r="D24" i="2"/>
  <c r="C11" i="2"/>
  <c r="D11" i="2"/>
  <c r="D29" i="5"/>
  <c r="C29" i="5"/>
  <c r="C30" i="5"/>
  <c r="C28" i="5"/>
  <c r="F24" i="5"/>
  <c r="E24" i="5"/>
  <c r="D24" i="5"/>
  <c r="C24" i="5"/>
  <c r="E25" i="5"/>
  <c r="D25" i="5"/>
  <c r="C25" i="5"/>
  <c r="E23" i="5"/>
  <c r="D23" i="5"/>
  <c r="C23" i="5"/>
  <c r="F15" i="5"/>
  <c r="E16" i="5"/>
  <c r="E15" i="5" s="1"/>
  <c r="E14" i="5"/>
  <c r="D16" i="5"/>
  <c r="D14" i="5"/>
  <c r="C16" i="5"/>
  <c r="C14" i="5"/>
  <c r="D10" i="5"/>
  <c r="C10" i="5"/>
  <c r="D8" i="5"/>
  <c r="C8" i="5"/>
  <c r="D63" i="1" l="1"/>
  <c r="F62" i="1"/>
  <c r="F64" i="1"/>
  <c r="G72" i="1"/>
  <c r="D62" i="1"/>
  <c r="F73" i="1"/>
  <c r="F74" i="1" s="1"/>
  <c r="G85" i="1"/>
  <c r="F85" i="1"/>
  <c r="C19" i="2"/>
  <c r="E24" i="2"/>
  <c r="C22" i="2"/>
  <c r="D21" i="2"/>
  <c r="D18" i="2"/>
  <c r="C24" i="2"/>
  <c r="B11" i="2"/>
  <c r="C12" i="2" s="1"/>
  <c r="A11" i="2"/>
  <c r="B12" i="2" s="1"/>
  <c r="B13" i="2" s="1"/>
  <c r="F28" i="1"/>
  <c r="K24" i="1"/>
  <c r="K22" i="1"/>
  <c r="D43" i="1" s="1"/>
  <c r="C13" i="2" l="1"/>
  <c r="E18" i="2"/>
  <c r="AJ26" i="1"/>
  <c r="AJ27" i="1" s="1"/>
  <c r="AI27" i="1"/>
  <c r="AH6" i="1"/>
  <c r="AI6" i="1"/>
  <c r="AI16" i="1"/>
  <c r="AH16" i="1"/>
  <c r="F31" i="1"/>
  <c r="B31" i="1"/>
  <c r="B24" i="1"/>
  <c r="C39" i="1"/>
  <c r="E39" i="1"/>
  <c r="D38" i="1"/>
  <c r="F38" i="1" s="1"/>
  <c r="J28" i="1"/>
  <c r="B28" i="1"/>
  <c r="T24" i="1"/>
  <c r="T26" i="1" s="1"/>
  <c r="J24" i="1"/>
  <c r="G24" i="1"/>
  <c r="F24" i="1"/>
  <c r="D24" i="1"/>
  <c r="T22" i="1"/>
  <c r="J22" i="1"/>
  <c r="D42" i="1" s="1"/>
  <c r="G22" i="1"/>
  <c r="F43" i="1" s="1"/>
  <c r="G43" i="1" s="1"/>
  <c r="F22" i="1"/>
  <c r="F42" i="1" s="1"/>
  <c r="G42" i="1" s="1"/>
  <c r="G44" i="1" s="1"/>
  <c r="B22" i="1"/>
  <c r="D22" i="1"/>
  <c r="T29" i="1"/>
  <c r="E24" i="4"/>
  <c r="E22" i="4"/>
  <c r="E20" i="4"/>
  <c r="E15" i="4"/>
  <c r="E11" i="4"/>
  <c r="C8" i="4"/>
  <c r="C9" i="4" s="1"/>
  <c r="C4" i="4"/>
  <c r="C5" i="4" s="1"/>
  <c r="E3" i="4"/>
  <c r="D3" i="4"/>
  <c r="E25" i="4" s="1"/>
  <c r="D35" i="1" l="1"/>
  <c r="J23" i="1"/>
  <c r="B23" i="1"/>
  <c r="B35" i="1"/>
  <c r="F23" i="1"/>
  <c r="AJ16" i="1"/>
  <c r="AJ6" i="1"/>
  <c r="E26" i="4"/>
  <c r="E12" i="4"/>
  <c r="E13" i="4" s="1"/>
  <c r="F35" i="1" l="1"/>
  <c r="B34" i="1"/>
  <c r="F34" i="1" s="1"/>
  <c r="AJ18" i="1"/>
  <c r="G86" i="1"/>
  <c r="G87" i="1" s="1"/>
  <c r="F25" i="1"/>
  <c r="G25" i="1"/>
  <c r="AJ8" i="1"/>
  <c r="AI11" i="1" s="1"/>
  <c r="AJ11" i="1" s="1"/>
  <c r="F71" i="1" s="1"/>
  <c r="F86" i="1"/>
  <c r="F87" i="1" s="1"/>
  <c r="F88" i="1" s="1"/>
  <c r="K25" i="1"/>
  <c r="J25" i="1"/>
  <c r="B25" i="1"/>
  <c r="D25" i="1"/>
  <c r="D26" i="1" s="1"/>
  <c r="F78" i="1" l="1"/>
  <c r="AI23" i="1"/>
  <c r="AJ23" i="1" s="1"/>
  <c r="G71" i="1" s="1"/>
  <c r="G77" i="1" s="1"/>
  <c r="F96" i="1"/>
  <c r="G96" i="1" s="1"/>
  <c r="AF13" i="1"/>
  <c r="J26" i="1"/>
  <c r="D46" i="1"/>
  <c r="G26" i="1"/>
  <c r="F47" i="1"/>
  <c r="K26" i="1"/>
  <c r="D47" i="1"/>
  <c r="G47" i="1" s="1"/>
  <c r="F26" i="1"/>
  <c r="F46" i="1"/>
  <c r="J27" i="1"/>
  <c r="J29" i="1" s="1"/>
  <c r="G88" i="1"/>
  <c r="B26" i="1"/>
  <c r="B27" i="1" s="1"/>
  <c r="B29" i="1" s="1"/>
  <c r="B36" i="1"/>
  <c r="D36" i="1"/>
  <c r="D37" i="1" s="1"/>
  <c r="D39" i="1" s="1"/>
  <c r="F77" i="1" l="1"/>
  <c r="F79" i="1"/>
  <c r="G79" i="1"/>
  <c r="G46" i="1"/>
  <c r="G48" i="1" s="1"/>
  <c r="G50" i="1" s="1"/>
  <c r="F27" i="1"/>
  <c r="F29" i="1" s="1"/>
  <c r="F36" i="1"/>
  <c r="F37" i="1" s="1"/>
  <c r="F39" i="1" s="1"/>
  <c r="B37" i="1"/>
  <c r="B39" i="1" s="1"/>
</calcChain>
</file>

<file path=xl/sharedStrings.xml><?xml version="1.0" encoding="utf-8"?>
<sst xmlns="http://schemas.openxmlformats.org/spreadsheetml/2006/main" count="288" uniqueCount="168">
  <si>
    <t>PLAN</t>
  </si>
  <si>
    <t>Preis</t>
  </si>
  <si>
    <t>Kv.</t>
  </si>
  <si>
    <r>
      <t>DB</t>
    </r>
    <r>
      <rPr>
        <vertAlign val="subscript"/>
        <sz val="11"/>
        <color theme="1"/>
        <rFont val="Calibri"/>
        <family val="2"/>
        <scheme val="minor"/>
      </rPr>
      <t>Plan</t>
    </r>
  </si>
  <si>
    <t>IST</t>
  </si>
  <si>
    <t>Der Plankosten</t>
  </si>
  <si>
    <t>Der Gesamtabweichungen</t>
  </si>
  <si>
    <t>Preisabweichung = €3,30 - €3,00 = € 0,30</t>
  </si>
  <si>
    <t>Mengenabweichung</t>
  </si>
  <si>
    <t>Preisabweichung</t>
  </si>
  <si>
    <t>Gesamtabweichung</t>
  </si>
  <si>
    <t xml:space="preserve">Mengenabweichung lt. 120, 100 </t>
  </si>
  <si>
    <t>lt. 100</t>
  </si>
  <si>
    <t>lt. €3,30, 120</t>
  </si>
  <si>
    <t>Die Abweichung zweiter Ordnung</t>
  </si>
  <si>
    <t>lt. €3,30, €3,00, 120, 100</t>
  </si>
  <si>
    <t>€ 3,30 - €3,00</t>
  </si>
  <si>
    <t>120 - 100</t>
  </si>
  <si>
    <t>x 20</t>
  </si>
  <si>
    <t>A2O</t>
  </si>
  <si>
    <t>Produktionsmenge</t>
  </si>
  <si>
    <t>A</t>
  </si>
  <si>
    <t>B</t>
  </si>
  <si>
    <t>Zubereitungszeit in Min.</t>
  </si>
  <si>
    <t>Periodenerfolgsrechnung</t>
  </si>
  <si>
    <t>PLANwerte</t>
  </si>
  <si>
    <t>ISTwerte</t>
  </si>
  <si>
    <t>Umsatz</t>
  </si>
  <si>
    <r>
      <rPr>
        <sz val="11"/>
        <color theme="1"/>
        <rFont val="Symbol"/>
        <family val="1"/>
        <charset val="2"/>
      </rPr>
      <t xml:space="preserve">å </t>
    </r>
    <r>
      <rPr>
        <sz val="11"/>
        <color theme="1"/>
        <rFont val="Calibri"/>
        <family val="2"/>
      </rPr>
      <t xml:space="preserve">Umsatz </t>
    </r>
  </si>
  <si>
    <r>
      <t>EK</t>
    </r>
    <r>
      <rPr>
        <vertAlign val="subscript"/>
        <sz val="11"/>
        <color theme="1"/>
        <rFont val="Calibri"/>
        <family val="2"/>
        <scheme val="minor"/>
      </rPr>
      <t>var</t>
    </r>
  </si>
  <si>
    <r>
      <t>Gk</t>
    </r>
    <r>
      <rPr>
        <vertAlign val="subscript"/>
        <sz val="11"/>
        <color theme="1"/>
        <rFont val="Calibri"/>
        <family val="2"/>
        <scheme val="minor"/>
      </rPr>
      <t>var</t>
    </r>
  </si>
  <si>
    <t>DB</t>
  </si>
  <si>
    <r>
      <rPr>
        <sz val="11"/>
        <color theme="1"/>
        <rFont val="Symbol"/>
        <family val="1"/>
        <charset val="2"/>
      </rPr>
      <t xml:space="preserve">å </t>
    </r>
    <r>
      <rPr>
        <sz val="11"/>
        <color theme="1"/>
        <rFont val="Calibri"/>
        <family val="2"/>
      </rPr>
      <t>DB</t>
    </r>
  </si>
  <si>
    <t>BE</t>
  </si>
  <si>
    <r>
      <t>K</t>
    </r>
    <r>
      <rPr>
        <vertAlign val="subscript"/>
        <sz val="11"/>
        <color theme="1"/>
        <rFont val="Calibri"/>
        <family val="2"/>
      </rPr>
      <t>fix</t>
    </r>
  </si>
  <si>
    <t>Verkaufpreis je Einheit €</t>
  </si>
  <si>
    <r>
      <t>K</t>
    </r>
    <r>
      <rPr>
        <vertAlign val="subscript"/>
        <sz val="11"/>
        <color theme="1"/>
        <rFont val="Calibri"/>
        <family val="2"/>
        <scheme val="minor"/>
      </rPr>
      <t xml:space="preserve">var </t>
    </r>
    <r>
      <rPr>
        <sz val="11"/>
        <color theme="1"/>
        <rFont val="Calibri"/>
        <family val="2"/>
        <scheme val="minor"/>
      </rPr>
      <t>GK €</t>
    </r>
  </si>
  <si>
    <r>
      <t>K</t>
    </r>
    <r>
      <rPr>
        <vertAlign val="subscript"/>
        <sz val="11"/>
        <color theme="1"/>
        <rFont val="Calibri"/>
        <family val="2"/>
        <scheme val="minor"/>
      </rPr>
      <t xml:space="preserve">fix </t>
    </r>
    <r>
      <rPr>
        <sz val="11"/>
        <color theme="1"/>
        <rFont val="Calibri"/>
        <family val="2"/>
        <scheme val="minor"/>
      </rPr>
      <t>GK €</t>
    </r>
  </si>
  <si>
    <r>
      <t xml:space="preserve">Umsatze </t>
    </r>
    <r>
      <rPr>
        <sz val="11"/>
        <color theme="1"/>
        <rFont val="Symbol"/>
        <family val="1"/>
        <charset val="2"/>
      </rPr>
      <t>å</t>
    </r>
  </si>
  <si>
    <r>
      <t xml:space="preserve">DB </t>
    </r>
    <r>
      <rPr>
        <sz val="11"/>
        <color theme="1"/>
        <rFont val="Symbol"/>
        <family val="1"/>
        <charset val="2"/>
      </rPr>
      <t>å</t>
    </r>
  </si>
  <si>
    <t>Trennung in absatzbedingte Abweichung und sonstige Abweichung</t>
  </si>
  <si>
    <t>AA</t>
  </si>
  <si>
    <t>SA</t>
  </si>
  <si>
    <t>GA</t>
  </si>
  <si>
    <t>MA</t>
  </si>
  <si>
    <t>PA</t>
  </si>
  <si>
    <t>x</t>
  </si>
  <si>
    <t xml:space="preserve">PLANwerte der </t>
  </si>
  <si>
    <t>ISTbeschäftigung</t>
  </si>
  <si>
    <t>Material pro Einheit</t>
  </si>
  <si>
    <t>Preis pro Material Einheit €</t>
  </si>
  <si>
    <t>Erlöse</t>
  </si>
  <si>
    <t>SUMME</t>
  </si>
  <si>
    <t>Variable</t>
  </si>
  <si>
    <t>Stückkosten</t>
  </si>
  <si>
    <t>Summe = Deckungsbeitragsabweichung</t>
  </si>
  <si>
    <t xml:space="preserve">Variablen Kosten </t>
  </si>
  <si>
    <r>
      <t xml:space="preserve">(10 </t>
    </r>
    <r>
      <rPr>
        <vertAlign val="superscript"/>
        <sz val="11"/>
        <color theme="1"/>
        <rFont val="Calibri"/>
        <family val="2"/>
        <scheme val="minor"/>
      </rPr>
      <t>Materialmenge</t>
    </r>
    <r>
      <rPr>
        <vertAlign val="subscript"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+ 5 min. Arbeitszeit) * Verrechnungsatz der Kostenstelle</t>
    </r>
  </si>
  <si>
    <t>/60</t>
  </si>
  <si>
    <t>PLAN BESCHÄFTIGUNG</t>
  </si>
  <si>
    <t>IST BESCHÄFTIGUNG</t>
  </si>
  <si>
    <t>PLAN STUNDEN</t>
  </si>
  <si>
    <t>IST STUNDEN</t>
  </si>
  <si>
    <t>/90</t>
  </si>
  <si>
    <t>Std/Min</t>
  </si>
  <si>
    <t>/100</t>
  </si>
  <si>
    <t>Gemeinkosten Abweichungen</t>
  </si>
  <si>
    <t>Menge an Zeit pro Einheit B</t>
  </si>
  <si>
    <t>Menge an Zeit pro Einheit A</t>
  </si>
  <si>
    <t>/</t>
  </si>
  <si>
    <t>Preisabweichung (Verrechnungsabsatzabweichung)</t>
  </si>
  <si>
    <t>Mengenabweichung (Bezugsgrößenabweichung)</t>
  </si>
  <si>
    <t>A = (10*0,20) + (5*0,42)</t>
  </si>
  <si>
    <t>A = (11*0,22) + (6*0,39)</t>
  </si>
  <si>
    <t>Shoes</t>
  </si>
  <si>
    <t>Shoes per Crate</t>
  </si>
  <si>
    <t>Hrs. Per Crate</t>
  </si>
  <si>
    <t>FX</t>
  </si>
  <si>
    <t>AQ*AP</t>
  </si>
  <si>
    <t>AQ*SP</t>
  </si>
  <si>
    <t>SQ*SP</t>
  </si>
  <si>
    <t>Actual</t>
  </si>
  <si>
    <t xml:space="preserve">Unfavorable  spending: </t>
  </si>
  <si>
    <t>(-)</t>
  </si>
  <si>
    <t>Efficiency Variance</t>
  </si>
  <si>
    <t>Actual Menge / Expected Time to Complete</t>
  </si>
  <si>
    <t>Actual Menge using actual Time</t>
  </si>
  <si>
    <t>Gemeinfixkosten</t>
  </si>
  <si>
    <t>Stunden</t>
  </si>
  <si>
    <t>Menge</t>
  </si>
  <si>
    <t>Kvar</t>
  </si>
  <si>
    <t>Kfix</t>
  </si>
  <si>
    <t>STARRE PLANKOSTENRECHNUNG</t>
  </si>
  <si>
    <t>GRENZPLANKOSTENRECHNUNG AUF VOLLKOSTENBASIS</t>
  </si>
  <si>
    <t>MEHRFACHFLEXIBLE GRENZPLANKOSTENRECHNUNG</t>
  </si>
  <si>
    <t>in Stunden</t>
  </si>
  <si>
    <t>(SQ-SP) - (AQ*SP)</t>
  </si>
  <si>
    <t>(SQ-SP) - (AQ*AP)</t>
  </si>
  <si>
    <t>ABWEICHUNG</t>
  </si>
  <si>
    <t>Verbrauchsabweichung (= Mengenabweichung)</t>
  </si>
  <si>
    <t>Beschäftigungsabweichung</t>
  </si>
  <si>
    <t>Intensitätsabweichung</t>
  </si>
  <si>
    <t>Ursache</t>
  </si>
  <si>
    <t>IP &gt; PP</t>
  </si>
  <si>
    <t>IP &lt; PP</t>
  </si>
  <si>
    <t>IP = PP</t>
  </si>
  <si>
    <t>IM &gt; PM</t>
  </si>
  <si>
    <t>IM &lt; PM</t>
  </si>
  <si>
    <t>IM = PM</t>
  </si>
  <si>
    <t>IB &gt; PB</t>
  </si>
  <si>
    <t>IB &lt; PB</t>
  </si>
  <si>
    <t>IB = PB</t>
  </si>
  <si>
    <t>IL &gt; IB</t>
  </si>
  <si>
    <t>IL &lt; IB</t>
  </si>
  <si>
    <t>IL = IB</t>
  </si>
  <si>
    <t>IK &lt; IPKIL</t>
  </si>
  <si>
    <t>IK = IPKIL</t>
  </si>
  <si>
    <r>
      <t>IK &gt; IPK</t>
    </r>
    <r>
      <rPr>
        <vertAlign val="subscript"/>
        <sz val="11"/>
        <color theme="1"/>
        <rFont val="Calibri"/>
        <family val="2"/>
        <scheme val="minor"/>
      </rPr>
      <t>IL</t>
    </r>
  </si>
  <si>
    <t>IPKIL</t>
  </si>
  <si>
    <t xml:space="preserve">IP </t>
  </si>
  <si>
    <t xml:space="preserve">IM </t>
  </si>
  <si>
    <t xml:space="preserve">IB </t>
  </si>
  <si>
    <t xml:space="preserve">IL </t>
  </si>
  <si>
    <t xml:space="preserve">IK </t>
  </si>
  <si>
    <t>ISTpreis</t>
  </si>
  <si>
    <t>ISTmenge</t>
  </si>
  <si>
    <t>ISTleistung</t>
  </si>
  <si>
    <t>ISTkosten</t>
  </si>
  <si>
    <t>Ideal Plankosten bei ISTleistung</t>
  </si>
  <si>
    <t>KÜ</t>
  </si>
  <si>
    <t>Vorzeichen (+)</t>
  </si>
  <si>
    <t>Vorzeichen (-)</t>
  </si>
  <si>
    <t>+</t>
  </si>
  <si>
    <t>-</t>
  </si>
  <si>
    <t>Einzelkostenabweichung</t>
  </si>
  <si>
    <t>Menge Gericht A</t>
  </si>
  <si>
    <t>Menge Gericht B</t>
  </si>
  <si>
    <t>Pai</t>
  </si>
  <si>
    <t>(PLANmenge*PLANpreis) - (PLANmenge*PLANpreis)</t>
  </si>
  <si>
    <t>(ISTmenge*PLANpreis) - (ISTmenge*ISTpreis)</t>
  </si>
  <si>
    <t>ISTmenge * PLANpreis</t>
  </si>
  <si>
    <t>(PLANpreis*PLANmenge) - (ISTpreis*ISTmenge)</t>
  </si>
  <si>
    <t xml:space="preserve">=2.500 / 100 Std. </t>
  </si>
  <si>
    <t>€25 /Std.</t>
  </si>
  <si>
    <t>=2.100 / 90 Std.</t>
  </si>
  <si>
    <t>€23,33 / Std.</t>
  </si>
  <si>
    <t>€ 0,39 / min.</t>
  </si>
  <si>
    <t>€ 0,42 / min</t>
  </si>
  <si>
    <t>Menge an Minuten für A</t>
  </si>
  <si>
    <t>Menge an Minuten für B</t>
  </si>
  <si>
    <t>/2    ???</t>
  </si>
  <si>
    <t>VSA Verrechnungssatzabweichung</t>
  </si>
  <si>
    <t>BZGA Bezugsgrößenabweichung</t>
  </si>
  <si>
    <t>GA Gesamtabweichung</t>
  </si>
  <si>
    <t>Planstückkosten A</t>
  </si>
  <si>
    <t>Planstückkosten B</t>
  </si>
  <si>
    <t>= (10*0,20) + (5*0,42) = € 4,10</t>
  </si>
  <si>
    <t>= (11*0,22) + (6*0,39) = € 4,76</t>
  </si>
  <si>
    <t>Gemeinvarkosten</t>
  </si>
  <si>
    <t>= 2.100 / 90</t>
  </si>
  <si>
    <t>Variable Gemeinkosten</t>
  </si>
  <si>
    <t>Fixe Gemeinkosten</t>
  </si>
  <si>
    <t>IK ohne PA</t>
  </si>
  <si>
    <t>IK</t>
  </si>
  <si>
    <t>PKIB</t>
  </si>
  <si>
    <t xml:space="preserve">ISTkosten </t>
  </si>
  <si>
    <t>PLANkosten ISTbeschäftigung</t>
  </si>
  <si>
    <t>Durch das raschere Arbeiten (bei Bf) ist eine für das Unternehmen günstige Intensitätsabweichung in Höhe von € 375 aufgetreten.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</si>
</sst>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&quot;€&quot;\ #,##0.00"/>
    <numFmt numFmtId="165" formatCode="&quot;€&quot;\ #,##0"/>
    <numFmt numFmtId="166" formatCode="_-* #,##0_-;\-* #,##0_-;_-* &quot;-&quot;??_-;_-@_-"/>
    <numFmt numFmtId="167" formatCode="_-* #,##0.0_-;\-* #,##0.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sz val="11"/>
      <color theme="1"/>
      <name val="Calibri"/>
      <family val="2"/>
    </font>
    <font>
      <vertAlign val="subscript"/>
      <sz val="11"/>
      <color theme="1"/>
      <name val="Calibri"/>
      <family val="2"/>
    </font>
    <font>
      <vertAlign val="superscript"/>
      <sz val="11"/>
      <color theme="1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0099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</fills>
  <borders count="38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Dashed">
        <color indexed="64"/>
      </left>
      <right/>
      <top style="mediumDashed">
        <color indexed="64"/>
      </top>
      <bottom/>
      <diagonal/>
    </border>
    <border>
      <left/>
      <right/>
      <top style="mediumDashed">
        <color indexed="64"/>
      </top>
      <bottom/>
      <diagonal/>
    </border>
    <border>
      <left/>
      <right style="mediumDashed">
        <color indexed="64"/>
      </right>
      <top style="mediumDashed">
        <color indexed="64"/>
      </top>
      <bottom/>
      <diagonal/>
    </border>
    <border>
      <left style="mediumDashed">
        <color indexed="64"/>
      </left>
      <right/>
      <top/>
      <bottom/>
      <diagonal/>
    </border>
    <border>
      <left/>
      <right style="mediumDashed">
        <color indexed="64"/>
      </right>
      <top/>
      <bottom/>
      <diagonal/>
    </border>
    <border>
      <left style="mediumDashed">
        <color indexed="64"/>
      </left>
      <right/>
      <top/>
      <bottom style="mediumDashed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 style="mediumDashed">
        <color indexed="64"/>
      </right>
      <top/>
      <bottom style="mediumDashed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4">
    <xf numFmtId="0" fontId="0" fillId="0" borderId="0" xfId="0"/>
    <xf numFmtId="43" fontId="0" fillId="0" borderId="0" xfId="1" applyFont="1"/>
    <xf numFmtId="43" fontId="0" fillId="0" borderId="0" xfId="0" applyNumberFormat="1"/>
    <xf numFmtId="43" fontId="0" fillId="0" borderId="1" xfId="1" applyFont="1" applyBorder="1"/>
    <xf numFmtId="164" fontId="0" fillId="0" borderId="0" xfId="1" applyNumberFormat="1" applyFont="1"/>
    <xf numFmtId="166" fontId="0" fillId="0" borderId="0" xfId="1" applyNumberFormat="1" applyFont="1"/>
    <xf numFmtId="43" fontId="0" fillId="0" borderId="0" xfId="1" applyNumberFormat="1" applyFont="1"/>
    <xf numFmtId="166" fontId="0" fillId="0" borderId="0" xfId="1" applyNumberFormat="1" applyFont="1" applyAlignment="1">
      <alignment horizontal="right"/>
    </xf>
    <xf numFmtId="164" fontId="0" fillId="2" borderId="1" xfId="1" applyNumberFormat="1" applyFont="1" applyFill="1" applyBorder="1"/>
    <xf numFmtId="43" fontId="0" fillId="2" borderId="1" xfId="1" applyFont="1" applyFill="1" applyBorder="1"/>
    <xf numFmtId="2" fontId="0" fillId="2" borderId="1" xfId="0" applyNumberFormat="1" applyFill="1" applyBorder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4" borderId="2" xfId="0" applyFill="1" applyBorder="1"/>
    <xf numFmtId="43" fontId="0" fillId="4" borderId="2" xfId="1" applyFont="1" applyFill="1" applyBorder="1"/>
    <xf numFmtId="0" fontId="0" fillId="5" borderId="2" xfId="0" applyFill="1" applyBorder="1"/>
    <xf numFmtId="0" fontId="0" fillId="6" borderId="2" xfId="0" applyFill="1" applyBorder="1"/>
    <xf numFmtId="164" fontId="0" fillId="6" borderId="3" xfId="1" applyNumberFormat="1" applyFont="1" applyFill="1" applyBorder="1" applyAlignment="1"/>
    <xf numFmtId="165" fontId="0" fillId="5" borderId="3" xfId="1" applyNumberFormat="1" applyFont="1" applyFill="1" applyBorder="1" applyAlignment="1"/>
    <xf numFmtId="165" fontId="0" fillId="6" borderId="3" xfId="1" applyNumberFormat="1" applyFont="1" applyFill="1" applyBorder="1" applyAlignment="1"/>
    <xf numFmtId="0" fontId="0" fillId="5" borderId="4" xfId="0" applyFill="1" applyBorder="1" applyAlignment="1">
      <alignment horizontal="left"/>
    </xf>
    <xf numFmtId="0" fontId="0" fillId="6" borderId="4" xfId="0" applyFill="1" applyBorder="1" applyAlignment="1">
      <alignment horizontal="left"/>
    </xf>
    <xf numFmtId="0" fontId="3" fillId="0" borderId="0" xfId="0" applyFont="1"/>
    <xf numFmtId="0" fontId="7" fillId="0" borderId="0" xfId="0" applyFont="1"/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4" fontId="0" fillId="0" borderId="0" xfId="0" applyNumberFormat="1"/>
    <xf numFmtId="165" fontId="0" fillId="0" borderId="0" xfId="0" applyNumberFormat="1"/>
    <xf numFmtId="165" fontId="0" fillId="8" borderId="0" xfId="0" applyNumberFormat="1" applyFill="1"/>
    <xf numFmtId="164" fontId="0" fillId="9" borderId="3" xfId="1" applyNumberFormat="1" applyFont="1" applyFill="1" applyBorder="1" applyAlignment="1"/>
    <xf numFmtId="165" fontId="0" fillId="10" borderId="0" xfId="0" applyNumberFormat="1" applyFill="1"/>
    <xf numFmtId="43" fontId="0" fillId="8" borderId="5" xfId="1" applyFont="1" applyFill="1" applyBorder="1"/>
    <xf numFmtId="43" fontId="0" fillId="9" borderId="5" xfId="1" applyFont="1" applyFill="1" applyBorder="1"/>
    <xf numFmtId="0" fontId="0" fillId="10" borderId="5" xfId="0" applyFill="1" applyBorder="1"/>
    <xf numFmtId="0" fontId="0" fillId="7" borderId="7" xfId="0" applyFill="1" applyBorder="1"/>
    <xf numFmtId="0" fontId="0" fillId="7" borderId="5" xfId="0" applyFill="1" applyBorder="1"/>
    <xf numFmtId="0" fontId="0" fillId="10" borderId="6" xfId="0" applyFill="1" applyBorder="1"/>
    <xf numFmtId="0" fontId="0" fillId="3" borderId="5" xfId="0" applyFill="1" applyBorder="1"/>
    <xf numFmtId="165" fontId="0" fillId="0" borderId="0" xfId="0" applyNumberFormat="1" applyAlignment="1">
      <alignment horizontal="center"/>
    </xf>
    <xf numFmtId="165" fontId="0" fillId="0" borderId="0" xfId="0" applyNumberFormat="1" applyAlignment="1"/>
    <xf numFmtId="165" fontId="0" fillId="11" borderId="5" xfId="0" applyNumberFormat="1" applyFill="1" applyBorder="1"/>
    <xf numFmtId="43" fontId="0" fillId="12" borderId="8" xfId="1" applyFont="1" applyFill="1" applyBorder="1"/>
    <xf numFmtId="43" fontId="0" fillId="12" borderId="5" xfId="1" applyFont="1" applyFill="1" applyBorder="1"/>
    <xf numFmtId="166" fontId="0" fillId="11" borderId="5" xfId="1" applyNumberFormat="1" applyFont="1" applyFill="1" applyBorder="1"/>
    <xf numFmtId="166" fontId="0" fillId="12" borderId="5" xfId="1" applyNumberFormat="1" applyFont="1" applyFill="1" applyBorder="1"/>
    <xf numFmtId="164" fontId="0" fillId="9" borderId="9" xfId="1" applyNumberFormat="1" applyFont="1" applyFill="1" applyBorder="1" applyAlignment="1"/>
    <xf numFmtId="164" fontId="0" fillId="6" borderId="9" xfId="1" applyNumberFormat="1" applyFont="1" applyFill="1" applyBorder="1" applyAlignment="1"/>
    <xf numFmtId="165" fontId="0" fillId="6" borderId="9" xfId="1" applyNumberFormat="1" applyFont="1" applyFill="1" applyBorder="1" applyAlignment="1"/>
    <xf numFmtId="165" fontId="0" fillId="5" borderId="9" xfId="1" applyNumberFormat="1" applyFont="1" applyFill="1" applyBorder="1" applyAlignment="1"/>
    <xf numFmtId="0" fontId="0" fillId="11" borderId="6" xfId="0" applyFill="1" applyBorder="1"/>
    <xf numFmtId="0" fontId="3" fillId="13" borderId="5" xfId="0" applyFont="1" applyFill="1" applyBorder="1" applyAlignment="1">
      <alignment horizontal="center"/>
    </xf>
    <xf numFmtId="0" fontId="0" fillId="13" borderId="5" xfId="0" applyFill="1" applyBorder="1"/>
    <xf numFmtId="0" fontId="0" fillId="0" borderId="0" xfId="0" applyFill="1" applyBorder="1"/>
    <xf numFmtId="164" fontId="0" fillId="0" borderId="0" xfId="0" applyNumberFormat="1" applyFill="1" applyBorder="1"/>
    <xf numFmtId="166" fontId="0" fillId="0" borderId="9" xfId="1" applyNumberFormat="1" applyFont="1" applyBorder="1"/>
    <xf numFmtId="166" fontId="0" fillId="0" borderId="0" xfId="1" quotePrefix="1" applyNumberFormat="1" applyFont="1"/>
    <xf numFmtId="165" fontId="0" fillId="7" borderId="5" xfId="0" applyNumberFormat="1" applyFill="1" applyBorder="1"/>
    <xf numFmtId="0" fontId="0" fillId="0" borderId="0" xfId="0" quotePrefix="1" applyAlignment="1">
      <alignment horizontal="right"/>
    </xf>
    <xf numFmtId="43" fontId="3" fillId="0" borderId="0" xfId="1" applyFont="1"/>
    <xf numFmtId="0" fontId="0" fillId="0" borderId="0" xfId="0" quotePrefix="1" applyFont="1" applyAlignment="1">
      <alignment horizontal="right"/>
    </xf>
    <xf numFmtId="166" fontId="3" fillId="0" borderId="0" xfId="1" applyNumberFormat="1" applyFont="1" applyAlignment="1">
      <alignment horizontal="center"/>
    </xf>
    <xf numFmtId="43" fontId="3" fillId="0" borderId="0" xfId="1" applyFont="1" applyAlignment="1">
      <alignment horizontal="center"/>
    </xf>
    <xf numFmtId="164" fontId="0" fillId="15" borderId="5" xfId="0" applyNumberFormat="1" applyFill="1" applyBorder="1"/>
    <xf numFmtId="0" fontId="0" fillId="15" borderId="5" xfId="0" applyFill="1" applyBorder="1"/>
    <xf numFmtId="43" fontId="0" fillId="15" borderId="5" xfId="0" applyNumberFormat="1" applyFill="1" applyBorder="1"/>
    <xf numFmtId="0" fontId="0" fillId="14" borderId="5" xfId="0" applyFill="1" applyBorder="1"/>
    <xf numFmtId="0" fontId="3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3" fontId="0" fillId="0" borderId="0" xfId="1" applyFont="1" applyFill="1" applyBorder="1"/>
    <xf numFmtId="0" fontId="3" fillId="0" borderId="0" xfId="0" applyFont="1" applyFill="1" applyBorder="1" applyAlignment="1">
      <alignment horizontal="center"/>
    </xf>
    <xf numFmtId="165" fontId="0" fillId="0" borderId="0" xfId="0" applyNumberFormat="1" applyFill="1" applyBorder="1"/>
    <xf numFmtId="165" fontId="0" fillId="0" borderId="0" xfId="0" applyNumberFormat="1" applyFill="1" applyBorder="1" applyAlignment="1"/>
    <xf numFmtId="43" fontId="0" fillId="9" borderId="11" xfId="1" applyFont="1" applyFill="1" applyBorder="1"/>
    <xf numFmtId="165" fontId="0" fillId="0" borderId="0" xfId="1" applyNumberFormat="1" applyFont="1"/>
    <xf numFmtId="0" fontId="0" fillId="4" borderId="13" xfId="0" applyFill="1" applyBorder="1"/>
    <xf numFmtId="0" fontId="0" fillId="4" borderId="14" xfId="0" applyFill="1" applyBorder="1"/>
    <xf numFmtId="0" fontId="4" fillId="4" borderId="14" xfId="0" applyFont="1" applyFill="1" applyBorder="1"/>
    <xf numFmtId="0" fontId="2" fillId="4" borderId="14" xfId="0" applyFont="1" applyFill="1" applyBorder="1" applyAlignment="1">
      <alignment horizontal="center"/>
    </xf>
    <xf numFmtId="0" fontId="2" fillId="4" borderId="15" xfId="0" applyFont="1" applyFill="1" applyBorder="1" applyAlignment="1">
      <alignment horizontal="center"/>
    </xf>
    <xf numFmtId="0" fontId="0" fillId="5" borderId="16" xfId="0" applyFill="1" applyBorder="1"/>
    <xf numFmtId="0" fontId="0" fillId="4" borderId="16" xfId="0" applyFill="1" applyBorder="1"/>
    <xf numFmtId="0" fontId="0" fillId="6" borderId="16" xfId="0" applyFill="1" applyBorder="1"/>
    <xf numFmtId="0" fontId="0" fillId="9" borderId="17" xfId="0" applyFill="1" applyBorder="1" applyAlignment="1">
      <alignment horizontal="center"/>
    </xf>
    <xf numFmtId="0" fontId="0" fillId="5" borderId="17" xfId="0" applyFill="1" applyBorder="1" applyAlignment="1">
      <alignment horizontal="center"/>
    </xf>
    <xf numFmtId="164" fontId="0" fillId="3" borderId="19" xfId="1" applyNumberFormat="1" applyFont="1" applyFill="1" applyBorder="1" applyAlignment="1"/>
    <xf numFmtId="164" fontId="0" fillId="6" borderId="19" xfId="1" applyNumberFormat="1" applyFont="1" applyFill="1" applyBorder="1" applyAlignment="1"/>
    <xf numFmtId="165" fontId="0" fillId="6" borderId="19" xfId="1" applyNumberFormat="1" applyFont="1" applyFill="1" applyBorder="1" applyAlignment="1"/>
    <xf numFmtId="165" fontId="0" fillId="5" borderId="19" xfId="1" applyNumberFormat="1" applyFont="1" applyFill="1" applyBorder="1" applyAlignment="1"/>
    <xf numFmtId="0" fontId="0" fillId="4" borderId="20" xfId="0" applyFill="1" applyBorder="1"/>
    <xf numFmtId="0" fontId="0" fillId="4" borderId="21" xfId="0" applyFill="1" applyBorder="1"/>
    <xf numFmtId="0" fontId="0" fillId="5" borderId="21" xfId="0" applyFill="1" applyBorder="1"/>
    <xf numFmtId="165" fontId="0" fillId="5" borderId="22" xfId="1" applyNumberFormat="1" applyFont="1" applyFill="1" applyBorder="1" applyAlignment="1"/>
    <xf numFmtId="165" fontId="0" fillId="5" borderId="23" xfId="1" applyNumberFormat="1" applyFont="1" applyFill="1" applyBorder="1" applyAlignment="1"/>
    <xf numFmtId="165" fontId="0" fillId="5" borderId="24" xfId="1" applyNumberFormat="1" applyFont="1" applyFill="1" applyBorder="1" applyAlignment="1"/>
    <xf numFmtId="1" fontId="0" fillId="9" borderId="17" xfId="0" applyNumberFormat="1" applyFill="1" applyBorder="1" applyAlignment="1">
      <alignment horizontal="center"/>
    </xf>
    <xf numFmtId="1" fontId="0" fillId="7" borderId="17" xfId="0" applyNumberFormat="1" applyFill="1" applyBorder="1" applyAlignment="1">
      <alignment horizontal="center"/>
    </xf>
    <xf numFmtId="164" fontId="0" fillId="7" borderId="17" xfId="0" applyNumberFormat="1" applyFill="1" applyBorder="1" applyAlignment="1">
      <alignment horizontal="center"/>
    </xf>
    <xf numFmtId="164" fontId="0" fillId="6" borderId="17" xfId="1" applyNumberFormat="1" applyFont="1" applyFill="1" applyBorder="1" applyAlignment="1">
      <alignment horizontal="center"/>
    </xf>
    <xf numFmtId="0" fontId="0" fillId="16" borderId="5" xfId="0" applyFill="1" applyBorder="1"/>
    <xf numFmtId="165" fontId="0" fillId="9" borderId="0" xfId="0" applyNumberFormat="1" applyFill="1"/>
    <xf numFmtId="165" fontId="0" fillId="0" borderId="0" xfId="0" quotePrefix="1" applyNumberFormat="1" applyFill="1"/>
    <xf numFmtId="0" fontId="0" fillId="16" borderId="6" xfId="0" applyFill="1" applyBorder="1"/>
    <xf numFmtId="0" fontId="0" fillId="18" borderId="5" xfId="0" applyFill="1" applyBorder="1"/>
    <xf numFmtId="164" fontId="0" fillId="18" borderId="5" xfId="0" applyNumberFormat="1" applyFill="1" applyBorder="1"/>
    <xf numFmtId="164" fontId="3" fillId="0" borderId="1" xfId="1" applyNumberFormat="1" applyFont="1" applyBorder="1" applyAlignment="1"/>
    <xf numFmtId="43" fontId="3" fillId="0" borderId="1" xfId="1" applyFont="1" applyBorder="1"/>
    <xf numFmtId="164" fontId="3" fillId="0" borderId="1" xfId="1" applyNumberFormat="1" applyFont="1" applyBorder="1" applyAlignment="1">
      <alignment horizontal="center"/>
    </xf>
    <xf numFmtId="165" fontId="3" fillId="0" borderId="0" xfId="0" applyNumberFormat="1" applyFont="1" applyAlignment="1">
      <alignment horizontal="center"/>
    </xf>
    <xf numFmtId="167" fontId="0" fillId="0" borderId="0" xfId="1" applyNumberFormat="1" applyFont="1"/>
    <xf numFmtId="166" fontId="0" fillId="0" borderId="0" xfId="0" applyNumberFormat="1"/>
    <xf numFmtId="166" fontId="0" fillId="18" borderId="0" xfId="1" applyNumberFormat="1" applyFont="1" applyFill="1"/>
    <xf numFmtId="166" fontId="0" fillId="17" borderId="0" xfId="1" applyNumberFormat="1" applyFont="1" applyFill="1"/>
    <xf numFmtId="167" fontId="0" fillId="17" borderId="0" xfId="1" applyNumberFormat="1" applyFont="1" applyFill="1"/>
    <xf numFmtId="43" fontId="0" fillId="18" borderId="0" xfId="1" applyNumberFormat="1" applyFont="1" applyFill="1"/>
    <xf numFmtId="166" fontId="0" fillId="0" borderId="0" xfId="1" applyNumberFormat="1" applyFont="1" applyAlignment="1">
      <alignment horizontal="center"/>
    </xf>
    <xf numFmtId="166" fontId="0" fillId="0" borderId="0" xfId="0" applyNumberFormat="1" applyAlignment="1">
      <alignment horizontal="center"/>
    </xf>
    <xf numFmtId="1" fontId="0" fillId="8" borderId="3" xfId="0" applyNumberFormat="1" applyFill="1" applyBorder="1" applyAlignment="1">
      <alignment horizontal="center"/>
    </xf>
    <xf numFmtId="1" fontId="0" fillId="8" borderId="4" xfId="0" applyNumberFormat="1" applyFill="1" applyBorder="1" applyAlignment="1">
      <alignment horizontal="center"/>
    </xf>
    <xf numFmtId="1" fontId="0" fillId="3" borderId="3" xfId="0" applyNumberFormat="1" applyFill="1" applyBorder="1" applyAlignment="1">
      <alignment horizontal="center"/>
    </xf>
    <xf numFmtId="1" fontId="0" fillId="3" borderId="4" xfId="0" applyNumberFormat="1" applyFill="1" applyBorder="1" applyAlignment="1">
      <alignment horizontal="center"/>
    </xf>
    <xf numFmtId="164" fontId="0" fillId="8" borderId="3" xfId="0" applyNumberFormat="1" applyFill="1" applyBorder="1" applyAlignment="1">
      <alignment horizontal="center"/>
    </xf>
    <xf numFmtId="164" fontId="0" fillId="8" borderId="4" xfId="0" applyNumberFormat="1" applyFill="1" applyBorder="1" applyAlignment="1">
      <alignment horizontal="center"/>
    </xf>
    <xf numFmtId="164" fontId="0" fillId="6" borderId="3" xfId="1" applyNumberFormat="1" applyFont="1" applyFill="1" applyBorder="1" applyAlignment="1">
      <alignment horizontal="center"/>
    </xf>
    <xf numFmtId="164" fontId="0" fillId="6" borderId="4" xfId="1" applyNumberFormat="1" applyFon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0" xfId="0" applyNumberFormat="1" applyBorder="1" applyAlignment="1">
      <alignment horizontal="center"/>
    </xf>
    <xf numFmtId="43" fontId="3" fillId="0" borderId="1" xfId="1" applyFont="1" applyBorder="1" applyAlignment="1">
      <alignment horizontal="center"/>
    </xf>
    <xf numFmtId="0" fontId="0" fillId="0" borderId="0" xfId="0" applyAlignment="1">
      <alignment horizontal="center"/>
    </xf>
    <xf numFmtId="0" fontId="0" fillId="5" borderId="18" xfId="0" applyFill="1" applyBorder="1" applyAlignment="1">
      <alignment horizontal="left"/>
    </xf>
    <xf numFmtId="0" fontId="0" fillId="5" borderId="9" xfId="0" applyFill="1" applyBorder="1" applyAlignment="1">
      <alignment horizontal="left"/>
    </xf>
    <xf numFmtId="0" fontId="0" fillId="5" borderId="4" xfId="0" applyFill="1" applyBorder="1" applyAlignment="1">
      <alignment horizontal="left"/>
    </xf>
    <xf numFmtId="0" fontId="3" fillId="0" borderId="0" xfId="0" applyFont="1" applyAlignment="1">
      <alignment horizontal="center"/>
    </xf>
    <xf numFmtId="0" fontId="0" fillId="6" borderId="18" xfId="0" applyFill="1" applyBorder="1" applyAlignment="1">
      <alignment horizontal="left"/>
    </xf>
    <xf numFmtId="0" fontId="0" fillId="6" borderId="9" xfId="0" applyFill="1" applyBorder="1" applyAlignment="1">
      <alignment horizontal="left"/>
    </xf>
    <xf numFmtId="0" fontId="0" fillId="6" borderId="4" xfId="0" applyFill="1" applyBorder="1" applyAlignment="1">
      <alignment horizontal="left"/>
    </xf>
    <xf numFmtId="0" fontId="0" fillId="11" borderId="0" xfId="0" applyFill="1"/>
    <xf numFmtId="1" fontId="0" fillId="8" borderId="9" xfId="0" applyNumberFormat="1" applyFill="1" applyBorder="1" applyAlignment="1">
      <alignment horizontal="center"/>
    </xf>
    <xf numFmtId="1" fontId="0" fillId="3" borderId="9" xfId="0" applyNumberFormat="1" applyFill="1" applyBorder="1" applyAlignment="1">
      <alignment horizontal="center"/>
    </xf>
    <xf numFmtId="164" fontId="0" fillId="8" borderId="9" xfId="0" applyNumberFormat="1" applyFill="1" applyBorder="1" applyAlignment="1">
      <alignment horizontal="center"/>
    </xf>
    <xf numFmtId="164" fontId="0" fillId="6" borderId="9" xfId="1" applyNumberFormat="1" applyFont="1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166" fontId="0" fillId="0" borderId="0" xfId="1" applyNumberFormat="1" applyFont="1" applyBorder="1"/>
    <xf numFmtId="0" fontId="3" fillId="19" borderId="5" xfId="0" applyFont="1" applyFill="1" applyBorder="1" applyAlignment="1">
      <alignment horizontal="center"/>
    </xf>
    <xf numFmtId="0" fontId="0" fillId="20" borderId="5" xfId="0" applyFill="1" applyBorder="1"/>
    <xf numFmtId="43" fontId="0" fillId="0" borderId="26" xfId="1" applyFont="1" applyBorder="1"/>
    <xf numFmtId="43" fontId="0" fillId="0" borderId="0" xfId="1" applyFont="1" applyBorder="1"/>
    <xf numFmtId="43" fontId="0" fillId="0" borderId="28" xfId="1" applyFont="1" applyBorder="1"/>
    <xf numFmtId="43" fontId="0" fillId="0" borderId="2" xfId="1" applyFont="1" applyBorder="1"/>
    <xf numFmtId="0" fontId="3" fillId="0" borderId="25" xfId="0" applyFont="1" applyBorder="1"/>
    <xf numFmtId="0" fontId="3" fillId="0" borderId="26" xfId="0" applyFont="1" applyBorder="1"/>
    <xf numFmtId="43" fontId="3" fillId="0" borderId="26" xfId="1" applyFont="1" applyBorder="1"/>
    <xf numFmtId="0" fontId="3" fillId="0" borderId="12" xfId="0" applyFont="1" applyBorder="1"/>
    <xf numFmtId="0" fontId="3" fillId="0" borderId="0" xfId="0" applyFont="1" applyBorder="1"/>
    <xf numFmtId="43" fontId="3" fillId="0" borderId="0" xfId="1" applyFont="1" applyBorder="1"/>
    <xf numFmtId="0" fontId="3" fillId="0" borderId="27" xfId="0" applyFont="1" applyBorder="1"/>
    <xf numFmtId="0" fontId="3" fillId="0" borderId="28" xfId="0" applyFont="1" applyBorder="1"/>
    <xf numFmtId="43" fontId="3" fillId="0" borderId="28" xfId="1" applyFont="1" applyBorder="1"/>
    <xf numFmtId="0" fontId="3" fillId="0" borderId="0" xfId="0" applyFont="1" applyFill="1" applyBorder="1"/>
    <xf numFmtId="43" fontId="0" fillId="0" borderId="14" xfId="1" applyFont="1" applyBorder="1"/>
    <xf numFmtId="43" fontId="0" fillId="0" borderId="15" xfId="1" applyFont="1" applyFill="1" applyBorder="1"/>
    <xf numFmtId="43" fontId="0" fillId="0" borderId="17" xfId="1" applyFont="1" applyFill="1" applyBorder="1"/>
    <xf numFmtId="43" fontId="0" fillId="0" borderId="17" xfId="1" applyFont="1" applyBorder="1"/>
    <xf numFmtId="43" fontId="0" fillId="0" borderId="21" xfId="1" applyFont="1" applyBorder="1"/>
    <xf numFmtId="43" fontId="0" fillId="0" borderId="29" xfId="1" applyFont="1" applyFill="1" applyBorder="1"/>
    <xf numFmtId="13" fontId="0" fillId="0" borderId="0" xfId="1" applyNumberFormat="1" applyFont="1" applyFill="1" applyBorder="1"/>
    <xf numFmtId="0" fontId="0" fillId="21" borderId="5" xfId="0" applyFill="1" applyBorder="1"/>
    <xf numFmtId="166" fontId="3" fillId="0" borderId="10" xfId="1" applyNumberFormat="1" applyFont="1" applyBorder="1"/>
    <xf numFmtId="43" fontId="0" fillId="0" borderId="0" xfId="1" quotePrefix="1" applyFont="1"/>
    <xf numFmtId="166" fontId="3" fillId="0" borderId="0" xfId="1" quotePrefix="1" applyNumberFormat="1" applyFont="1" applyAlignment="1">
      <alignment horizontal="center"/>
    </xf>
    <xf numFmtId="0" fontId="0" fillId="0" borderId="0" xfId="0" quotePrefix="1"/>
    <xf numFmtId="43" fontId="0" fillId="22" borderId="30" xfId="1" applyFont="1" applyFill="1" applyBorder="1"/>
    <xf numFmtId="43" fontId="0" fillId="22" borderId="31" xfId="1" applyFont="1" applyFill="1" applyBorder="1"/>
    <xf numFmtId="0" fontId="0" fillId="22" borderId="31" xfId="0" applyFill="1" applyBorder="1"/>
    <xf numFmtId="0" fontId="0" fillId="22" borderId="32" xfId="0" applyFill="1" applyBorder="1"/>
    <xf numFmtId="43" fontId="0" fillId="22" borderId="33" xfId="1" applyFont="1" applyFill="1" applyBorder="1"/>
    <xf numFmtId="43" fontId="0" fillId="22" borderId="0" xfId="1" applyFont="1" applyFill="1" applyBorder="1"/>
    <xf numFmtId="0" fontId="0" fillId="22" borderId="0" xfId="0" applyFill="1" applyBorder="1"/>
    <xf numFmtId="0" fontId="0" fillId="22" borderId="34" xfId="0" quotePrefix="1" applyFill="1" applyBorder="1"/>
    <xf numFmtId="43" fontId="0" fillId="22" borderId="35" xfId="1" applyFont="1" applyFill="1" applyBorder="1"/>
    <xf numFmtId="43" fontId="0" fillId="22" borderId="36" xfId="1" applyFont="1" applyFill="1" applyBorder="1"/>
    <xf numFmtId="0" fontId="0" fillId="22" borderId="36" xfId="0" applyFill="1" applyBorder="1"/>
    <xf numFmtId="0" fontId="0" fillId="22" borderId="37" xfId="0" applyFill="1" applyBorder="1"/>
    <xf numFmtId="43" fontId="0" fillId="2" borderId="0" xfId="1" applyFont="1" applyFill="1"/>
    <xf numFmtId="166" fontId="0" fillId="0" borderId="0" xfId="1" applyNumberFormat="1" applyFont="1" applyFill="1" applyBorder="1"/>
    <xf numFmtId="166" fontId="0" fillId="0" borderId="0" xfId="1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0" fillId="23" borderId="5" xfId="0" applyFill="1" applyBorder="1"/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colors>
    <mruColors>
      <color rgb="FF0099CC"/>
      <color rgb="FFFF00FF"/>
      <color rgb="FFFBD5EE"/>
      <color rgb="FFFF6600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view="pageLayout" topLeftCell="A25" workbookViewId="0">
      <selection activeCell="C28" sqref="C28"/>
    </sheetView>
  </sheetViews>
  <sheetFormatPr baseColWidth="10" defaultRowHeight="14.4" x14ac:dyDescent="0.3"/>
  <sheetData>
    <row r="1" spans="1:6" x14ac:dyDescent="0.3">
      <c r="D1" s="12" t="s">
        <v>0</v>
      </c>
      <c r="E1" s="12" t="s">
        <v>4</v>
      </c>
    </row>
    <row r="2" spans="1:6" x14ac:dyDescent="0.3">
      <c r="A2" t="s">
        <v>0</v>
      </c>
      <c r="D2">
        <v>100</v>
      </c>
      <c r="E2">
        <v>120</v>
      </c>
    </row>
    <row r="3" spans="1:6" x14ac:dyDescent="0.3">
      <c r="B3" t="s">
        <v>1</v>
      </c>
      <c r="C3" s="4">
        <v>3</v>
      </c>
      <c r="D3" s="2">
        <f>+D2*C3</f>
        <v>300</v>
      </c>
      <c r="E3" s="2">
        <f>+E2*C3</f>
        <v>360</v>
      </c>
    </row>
    <row r="4" spans="1:6" x14ac:dyDescent="0.3">
      <c r="B4" t="s">
        <v>2</v>
      </c>
      <c r="C4" s="1">
        <f>100/1000</f>
        <v>0.1</v>
      </c>
      <c r="D4" s="1"/>
      <c r="E4" s="1"/>
      <c r="F4" s="1"/>
    </row>
    <row r="5" spans="1:6" ht="15.6" x14ac:dyDescent="0.35">
      <c r="B5" t="s">
        <v>3</v>
      </c>
      <c r="C5" s="4">
        <f>+C3-C4</f>
        <v>2.9</v>
      </c>
      <c r="D5" s="1"/>
      <c r="E5" s="1"/>
      <c r="F5" s="1"/>
    </row>
    <row r="6" spans="1:6" x14ac:dyDescent="0.3">
      <c r="C6" s="1"/>
      <c r="D6" s="1"/>
      <c r="E6" s="1"/>
      <c r="F6" s="1"/>
    </row>
    <row r="7" spans="1:6" x14ac:dyDescent="0.3">
      <c r="A7" t="s">
        <v>4</v>
      </c>
      <c r="B7" t="s">
        <v>1</v>
      </c>
      <c r="C7" s="4">
        <v>3.3</v>
      </c>
      <c r="E7" s="1"/>
      <c r="F7" s="1"/>
    </row>
    <row r="8" spans="1:6" x14ac:dyDescent="0.3">
      <c r="B8" t="s">
        <v>2</v>
      </c>
      <c r="C8" s="1">
        <f>120/1000</f>
        <v>0.12</v>
      </c>
      <c r="E8" s="1"/>
      <c r="F8" s="1"/>
    </row>
    <row r="9" spans="1:6" ht="15.6" x14ac:dyDescent="0.35">
      <c r="B9" t="s">
        <v>3</v>
      </c>
      <c r="C9" s="4">
        <f>+C7-C8</f>
        <v>3.1799999999999997</v>
      </c>
      <c r="E9" s="1"/>
      <c r="F9" s="1"/>
    </row>
    <row r="10" spans="1:6" x14ac:dyDescent="0.3">
      <c r="C10" s="1"/>
      <c r="D10" s="1"/>
      <c r="E10" s="1"/>
      <c r="F10" s="1"/>
    </row>
    <row r="11" spans="1:6" x14ac:dyDescent="0.3">
      <c r="B11" t="s">
        <v>5</v>
      </c>
      <c r="C11" s="1"/>
      <c r="D11" s="1"/>
      <c r="E11" s="1">
        <f>+E3</f>
        <v>360</v>
      </c>
      <c r="F11" s="1"/>
    </row>
    <row r="12" spans="1:6" x14ac:dyDescent="0.3">
      <c r="C12" s="1"/>
      <c r="D12" s="1"/>
      <c r="E12" s="1">
        <f>-D3</f>
        <v>-300</v>
      </c>
      <c r="F12" s="1"/>
    </row>
    <row r="13" spans="1:6" ht="15" thickBot="1" x14ac:dyDescent="0.35">
      <c r="B13" t="s">
        <v>11</v>
      </c>
      <c r="C13" s="1"/>
      <c r="D13" s="1"/>
      <c r="E13" s="8">
        <f>SUM(E11:E12)</f>
        <v>60</v>
      </c>
      <c r="F13" s="1" t="s">
        <v>8</v>
      </c>
    </row>
    <row r="14" spans="1:6" ht="15" thickTop="1" x14ac:dyDescent="0.3">
      <c r="C14" s="1"/>
      <c r="D14" s="1"/>
      <c r="E14" s="1"/>
      <c r="F14" s="1"/>
    </row>
    <row r="15" spans="1:6" ht="15" thickBot="1" x14ac:dyDescent="0.35">
      <c r="B15" t="s">
        <v>7</v>
      </c>
      <c r="C15" s="1"/>
      <c r="D15" s="1"/>
      <c r="E15" s="9">
        <f>100*0.3</f>
        <v>30</v>
      </c>
      <c r="F15" s="1" t="s">
        <v>9</v>
      </c>
    </row>
    <row r="16" spans="1:6" ht="15" thickTop="1" x14ac:dyDescent="0.3">
      <c r="B16" t="s">
        <v>12</v>
      </c>
      <c r="C16" s="1"/>
      <c r="D16" s="1"/>
      <c r="E16" s="1"/>
      <c r="F16" s="1"/>
    </row>
    <row r="17" spans="2:6" x14ac:dyDescent="0.3">
      <c r="C17" s="1"/>
      <c r="D17" s="1"/>
      <c r="E17" s="1"/>
      <c r="F17" s="1"/>
    </row>
    <row r="18" spans="2:6" x14ac:dyDescent="0.3">
      <c r="B18" t="s">
        <v>14</v>
      </c>
      <c r="C18" s="1"/>
      <c r="D18" s="1"/>
    </row>
    <row r="19" spans="2:6" x14ac:dyDescent="0.3">
      <c r="B19" t="s">
        <v>15</v>
      </c>
      <c r="D19" s="1"/>
    </row>
    <row r="20" spans="2:6" x14ac:dyDescent="0.3">
      <c r="D20" t="s">
        <v>16</v>
      </c>
      <c r="E20" s="6">
        <f>3.3-3</f>
        <v>0.29999999999999982</v>
      </c>
      <c r="F20" s="7"/>
    </row>
    <row r="21" spans="2:6" x14ac:dyDescent="0.3">
      <c r="D21" t="s">
        <v>17</v>
      </c>
      <c r="E21" s="7" t="s">
        <v>18</v>
      </c>
      <c r="F21" s="7"/>
    </row>
    <row r="22" spans="2:6" ht="15" thickBot="1" x14ac:dyDescent="0.35">
      <c r="D22" s="1"/>
      <c r="E22" s="10">
        <f>20*0.3</f>
        <v>6</v>
      </c>
      <c r="F22" s="7" t="s">
        <v>19</v>
      </c>
    </row>
    <row r="23" spans="2:6" ht="15" thickTop="1" x14ac:dyDescent="0.3">
      <c r="C23" s="1"/>
      <c r="D23" s="1"/>
      <c r="E23" s="1"/>
      <c r="F23" s="1"/>
    </row>
    <row r="24" spans="2:6" x14ac:dyDescent="0.3">
      <c r="B24" t="s">
        <v>6</v>
      </c>
      <c r="C24" s="1"/>
      <c r="D24" s="1"/>
      <c r="E24" s="1">
        <f>+C7*E2</f>
        <v>396</v>
      </c>
      <c r="F24" s="1"/>
    </row>
    <row r="25" spans="2:6" x14ac:dyDescent="0.3">
      <c r="B25" t="s">
        <v>13</v>
      </c>
      <c r="C25" s="1"/>
      <c r="D25" s="1"/>
      <c r="E25" s="1">
        <f>-D3</f>
        <v>-300</v>
      </c>
      <c r="F25" s="1"/>
    </row>
    <row r="26" spans="2:6" ht="15" thickBot="1" x14ac:dyDescent="0.35">
      <c r="E26" s="3">
        <f>SUM(E24:E25)</f>
        <v>96</v>
      </c>
      <c r="F26" s="1" t="s">
        <v>10</v>
      </c>
    </row>
    <row r="27" spans="2:6" ht="15" thickTop="1" x14ac:dyDescent="0.3"/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43"/>
  <sheetViews>
    <sheetView tabSelected="1" view="pageBreakPreview" topLeftCell="A84" zoomScaleNormal="100" zoomScaleSheetLayoutView="100" workbookViewId="0">
      <selection activeCell="AF101" sqref="AF101"/>
    </sheetView>
  </sheetViews>
  <sheetFormatPr baseColWidth="10" defaultRowHeight="14.4" x14ac:dyDescent="0.3"/>
  <cols>
    <col min="2" max="2" width="13.88671875" bestFit="1" customWidth="1"/>
    <col min="3" max="3" width="1.33203125" customWidth="1"/>
    <col min="4" max="4" width="11.5546875" style="1"/>
    <col min="5" max="5" width="1" style="1" customWidth="1"/>
    <col min="6" max="6" width="11.5546875" style="1"/>
    <col min="8" max="8" width="1.21875" customWidth="1"/>
    <col min="9" max="9" width="1" customWidth="1"/>
    <col min="10" max="10" width="14" bestFit="1" customWidth="1"/>
    <col min="11" max="11" width="9.33203125" style="53" bestFit="1" customWidth="1"/>
    <col min="12" max="14" width="1" style="53" customWidth="1"/>
    <col min="15" max="20" width="1" customWidth="1"/>
    <col min="21" max="31" width="1.109375" customWidth="1"/>
    <col min="32" max="32" width="13.77734375" customWidth="1"/>
    <col min="36" max="36" width="11.5546875" customWidth="1"/>
    <col min="37" max="39" width="1.21875" customWidth="1"/>
  </cols>
  <sheetData>
    <row r="1" spans="1:38" ht="15" thickBot="1" x14ac:dyDescent="0.35">
      <c r="G1" s="1"/>
      <c r="H1" s="1"/>
      <c r="I1" s="1"/>
      <c r="J1" s="1"/>
      <c r="K1" s="70"/>
      <c r="L1" s="70"/>
      <c r="M1" s="70"/>
      <c r="N1" s="70"/>
      <c r="O1" s="1"/>
      <c r="P1" s="1"/>
      <c r="Q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8" ht="15" thickBot="1" x14ac:dyDescent="0.35">
      <c r="B2" s="76"/>
      <c r="C2" s="77"/>
      <c r="D2" s="77"/>
      <c r="E2" s="77"/>
      <c r="F2" s="78"/>
      <c r="G2" s="79" t="s">
        <v>21</v>
      </c>
      <c r="H2" s="79"/>
      <c r="I2" s="79"/>
      <c r="J2" s="80" t="s">
        <v>22</v>
      </c>
      <c r="K2" s="70"/>
      <c r="L2" s="70"/>
      <c r="M2" s="70"/>
      <c r="N2" s="70"/>
      <c r="O2" s="1"/>
      <c r="P2" s="1"/>
      <c r="Q2" s="1"/>
    </row>
    <row r="3" spans="1:38" ht="15" thickBot="1" x14ac:dyDescent="0.35">
      <c r="A3" t="s">
        <v>44</v>
      </c>
      <c r="B3" s="81" t="s">
        <v>20</v>
      </c>
      <c r="C3" s="16"/>
      <c r="D3" s="16"/>
      <c r="E3" s="16"/>
      <c r="F3" s="16" t="s">
        <v>0</v>
      </c>
      <c r="G3" s="118">
        <v>400</v>
      </c>
      <c r="H3" s="142"/>
      <c r="I3" s="119"/>
      <c r="J3" s="96">
        <v>1000</v>
      </c>
      <c r="K3" s="70"/>
      <c r="L3" s="70"/>
      <c r="M3" s="70"/>
      <c r="N3" s="70"/>
      <c r="O3" s="32"/>
      <c r="P3" s="74"/>
      <c r="Y3" s="100"/>
      <c r="AH3" s="23" t="s">
        <v>59</v>
      </c>
    </row>
    <row r="4" spans="1:38" ht="15" thickBot="1" x14ac:dyDescent="0.35">
      <c r="B4" s="82"/>
      <c r="C4" s="14"/>
      <c r="D4" s="14"/>
      <c r="E4" s="14"/>
      <c r="F4" s="16" t="s">
        <v>4</v>
      </c>
      <c r="G4" s="120">
        <v>300</v>
      </c>
      <c r="H4" s="143"/>
      <c r="I4" s="121"/>
      <c r="J4" s="97">
        <v>1200</v>
      </c>
      <c r="K4" s="70"/>
      <c r="L4" s="70"/>
      <c r="M4" s="70"/>
      <c r="N4" s="70"/>
      <c r="O4" s="1"/>
      <c r="P4" s="1"/>
      <c r="Q4" s="35"/>
      <c r="R4" s="37"/>
      <c r="S4" s="38"/>
      <c r="Z4" s="104"/>
      <c r="AA4" s="193"/>
      <c r="AB4" s="193"/>
      <c r="AH4" s="5">
        <v>400</v>
      </c>
      <c r="AI4" s="5">
        <v>1000</v>
      </c>
      <c r="AJ4" s="5"/>
    </row>
    <row r="5" spans="1:38" ht="15" thickBot="1" x14ac:dyDescent="0.35">
      <c r="A5" t="s">
        <v>45</v>
      </c>
      <c r="B5" s="83" t="s">
        <v>35</v>
      </c>
      <c r="C5" s="17"/>
      <c r="D5" s="17"/>
      <c r="E5" s="17"/>
      <c r="F5" s="17" t="s">
        <v>0</v>
      </c>
      <c r="G5" s="122">
        <v>5.5</v>
      </c>
      <c r="H5" s="144"/>
      <c r="I5" s="123"/>
      <c r="J5" s="98">
        <v>6.7</v>
      </c>
      <c r="K5" s="171"/>
      <c r="L5" s="70"/>
      <c r="M5" s="70"/>
      <c r="N5" s="70"/>
      <c r="O5" s="32"/>
      <c r="P5" s="1"/>
      <c r="Q5" s="36"/>
      <c r="AH5" s="5">
        <v>5</v>
      </c>
      <c r="AI5" s="5">
        <v>4</v>
      </c>
      <c r="AJ5" s="5"/>
    </row>
    <row r="6" spans="1:38" ht="15" thickBot="1" x14ac:dyDescent="0.35">
      <c r="B6" s="82"/>
      <c r="C6" s="14"/>
      <c r="D6" s="15"/>
      <c r="E6" s="15"/>
      <c r="F6" s="17" t="s">
        <v>4</v>
      </c>
      <c r="G6" s="124">
        <v>4.9000000000000004</v>
      </c>
      <c r="H6" s="145"/>
      <c r="I6" s="125"/>
      <c r="J6" s="99">
        <v>6.8</v>
      </c>
      <c r="K6" s="70"/>
      <c r="L6" s="70"/>
      <c r="M6" s="70"/>
      <c r="N6" s="70"/>
      <c r="O6" s="1"/>
      <c r="P6" s="1"/>
      <c r="Q6" s="1"/>
      <c r="T6" s="27"/>
      <c r="AH6" s="5">
        <f>+AH5*AH4</f>
        <v>2000</v>
      </c>
      <c r="AI6" s="5">
        <f>+AI5*AI4</f>
        <v>4000</v>
      </c>
      <c r="AJ6" s="5">
        <f>SUM(AH6:AI6)</f>
        <v>6000</v>
      </c>
      <c r="AK6" s="103"/>
      <c r="AL6" s="104"/>
    </row>
    <row r="7" spans="1:38" ht="15" thickBot="1" x14ac:dyDescent="0.35">
      <c r="A7" t="s">
        <v>46</v>
      </c>
      <c r="B7" s="134" t="s">
        <v>49</v>
      </c>
      <c r="C7" s="135"/>
      <c r="D7" s="136"/>
      <c r="E7" s="16"/>
      <c r="F7" s="16" t="s">
        <v>0</v>
      </c>
      <c r="G7" s="126">
        <v>10</v>
      </c>
      <c r="H7" s="146"/>
      <c r="I7" s="127"/>
      <c r="J7" s="84">
        <v>14</v>
      </c>
      <c r="K7" s="70"/>
      <c r="L7" s="70"/>
      <c r="M7" s="70"/>
      <c r="N7" s="70"/>
      <c r="O7" s="1"/>
      <c r="P7" s="33"/>
      <c r="Q7" s="1"/>
      <c r="S7" s="38"/>
      <c r="T7" s="53"/>
      <c r="W7" s="64"/>
      <c r="AG7" s="28"/>
      <c r="AJ7" s="58" t="s">
        <v>58</v>
      </c>
    </row>
    <row r="8" spans="1:38" ht="15" thickBot="1" x14ac:dyDescent="0.35">
      <c r="B8" s="82"/>
      <c r="C8" s="14"/>
      <c r="D8" s="14"/>
      <c r="E8" s="14"/>
      <c r="F8" s="16" t="s">
        <v>4</v>
      </c>
      <c r="G8" s="128">
        <v>11</v>
      </c>
      <c r="H8" s="147"/>
      <c r="I8" s="129"/>
      <c r="J8" s="85">
        <v>12</v>
      </c>
      <c r="K8" s="70"/>
      <c r="L8" s="70"/>
      <c r="M8" s="70"/>
      <c r="N8" s="70"/>
      <c r="O8" s="1"/>
      <c r="P8" s="1"/>
      <c r="Q8" s="1"/>
      <c r="R8" s="34"/>
      <c r="T8" s="54"/>
      <c r="X8" s="66"/>
      <c r="AG8" s="28"/>
      <c r="AH8" s="23" t="s">
        <v>61</v>
      </c>
      <c r="AJ8" s="23">
        <f>+AJ6/60</f>
        <v>100</v>
      </c>
    </row>
    <row r="9" spans="1:38" ht="15" thickBot="1" x14ac:dyDescent="0.35">
      <c r="A9" t="s">
        <v>45</v>
      </c>
      <c r="B9" s="83" t="s">
        <v>50</v>
      </c>
      <c r="C9" s="17"/>
      <c r="D9" s="17"/>
      <c r="E9" s="17"/>
      <c r="F9" s="17" t="s">
        <v>0</v>
      </c>
      <c r="G9" s="30">
        <v>0.2</v>
      </c>
      <c r="H9" s="46"/>
      <c r="I9" s="46"/>
      <c r="J9" s="86"/>
      <c r="K9" s="70"/>
      <c r="L9" s="70"/>
      <c r="M9" s="70"/>
      <c r="N9" s="70"/>
      <c r="O9" s="1"/>
      <c r="P9" s="33"/>
      <c r="Q9" s="1"/>
      <c r="S9" s="38"/>
      <c r="T9" s="53"/>
      <c r="W9" s="64"/>
      <c r="AI9" s="5">
        <v>2500</v>
      </c>
    </row>
    <row r="10" spans="1:38" ht="15" thickBot="1" x14ac:dyDescent="0.35">
      <c r="B10" s="82"/>
      <c r="C10" s="14"/>
      <c r="D10" s="15"/>
      <c r="E10" s="15"/>
      <c r="F10" s="17" t="s">
        <v>4</v>
      </c>
      <c r="G10" s="18">
        <v>0.22</v>
      </c>
      <c r="H10" s="47"/>
      <c r="I10" s="47"/>
      <c r="J10" s="87"/>
      <c r="K10" s="70"/>
      <c r="L10" s="70"/>
      <c r="M10" s="70"/>
      <c r="N10" s="70"/>
      <c r="O10" s="1"/>
      <c r="P10" s="1"/>
      <c r="Q10" s="1"/>
      <c r="R10" s="34"/>
      <c r="T10" s="53"/>
      <c r="U10" s="53"/>
      <c r="V10" s="53"/>
      <c r="X10" s="66"/>
      <c r="Y10" s="53"/>
      <c r="Z10" s="53"/>
      <c r="AA10" s="53"/>
      <c r="AB10" s="53"/>
      <c r="AC10" s="53"/>
      <c r="AD10" s="53"/>
      <c r="AI10" s="58" t="s">
        <v>65</v>
      </c>
    </row>
    <row r="11" spans="1:38" ht="15" thickBot="1" x14ac:dyDescent="0.35">
      <c r="A11" t="s">
        <v>46</v>
      </c>
      <c r="B11" s="134" t="s">
        <v>23</v>
      </c>
      <c r="C11" s="135"/>
      <c r="D11" s="136"/>
      <c r="E11" s="21"/>
      <c r="F11" s="16" t="s">
        <v>0</v>
      </c>
      <c r="G11" s="128">
        <v>5</v>
      </c>
      <c r="H11" s="147"/>
      <c r="I11" s="129"/>
      <c r="J11" s="85">
        <v>4</v>
      </c>
      <c r="K11" s="70"/>
      <c r="L11" s="70"/>
      <c r="M11" s="70"/>
      <c r="N11" s="70"/>
      <c r="O11" s="1"/>
      <c r="P11" s="1"/>
      <c r="Q11" s="1"/>
      <c r="T11" s="54"/>
      <c r="U11" s="54"/>
      <c r="V11" s="54"/>
      <c r="W11" s="63"/>
      <c r="X11" s="54"/>
      <c r="Y11" s="103"/>
      <c r="Z11" s="105"/>
      <c r="AA11" s="54"/>
      <c r="AB11" s="193"/>
      <c r="AC11" s="193"/>
      <c r="AD11" s="54"/>
      <c r="AH11" s="23" t="s">
        <v>64</v>
      </c>
      <c r="AI11" s="59">
        <f>+AI9/AJ8</f>
        <v>25</v>
      </c>
      <c r="AJ11" s="59">
        <f>+AI11/60</f>
        <v>0.41666666666666669</v>
      </c>
      <c r="AK11" s="65"/>
    </row>
    <row r="12" spans="1:38" ht="15" thickBot="1" x14ac:dyDescent="0.35">
      <c r="B12" s="82"/>
      <c r="C12" s="14"/>
      <c r="D12" s="14"/>
      <c r="E12" s="14"/>
      <c r="F12" s="16" t="s">
        <v>4</v>
      </c>
      <c r="G12" s="128">
        <v>6</v>
      </c>
      <c r="H12" s="147"/>
      <c r="I12" s="129"/>
      <c r="J12" s="85">
        <v>3</v>
      </c>
      <c r="K12" s="70"/>
      <c r="L12" s="70"/>
      <c r="M12" s="70"/>
      <c r="N12" s="70"/>
      <c r="O12" s="1"/>
      <c r="P12" s="1"/>
      <c r="Q12" s="1"/>
      <c r="T12" s="53"/>
      <c r="U12" s="53"/>
      <c r="V12" s="53"/>
      <c r="W12" s="53"/>
      <c r="X12" s="66"/>
      <c r="Y12" s="53"/>
      <c r="Z12" s="53"/>
      <c r="AA12" s="53"/>
      <c r="AB12" s="53"/>
      <c r="AC12" s="53"/>
      <c r="AD12" s="53"/>
      <c r="AK12" s="2"/>
    </row>
    <row r="13" spans="1:38" ht="16.2" thickBot="1" x14ac:dyDescent="0.4">
      <c r="A13" t="s">
        <v>46</v>
      </c>
      <c r="B13" s="138" t="s">
        <v>36</v>
      </c>
      <c r="C13" s="139"/>
      <c r="D13" s="140"/>
      <c r="E13" s="22"/>
      <c r="F13" s="17" t="s">
        <v>0</v>
      </c>
      <c r="G13" s="20">
        <v>2500</v>
      </c>
      <c r="H13" s="48"/>
      <c r="I13" s="48"/>
      <c r="J13" s="88"/>
      <c r="K13" s="70"/>
      <c r="L13" s="70"/>
      <c r="M13" s="70"/>
      <c r="N13" s="70"/>
      <c r="O13" s="1"/>
      <c r="P13" s="1"/>
      <c r="Q13" s="1"/>
      <c r="T13" s="53"/>
      <c r="U13" s="53"/>
      <c r="V13" s="53"/>
      <c r="W13" s="53"/>
      <c r="X13" s="53"/>
      <c r="Y13" s="53"/>
      <c r="Z13" s="104"/>
      <c r="AA13" s="53"/>
      <c r="AB13" s="53"/>
      <c r="AC13" s="53"/>
      <c r="AD13" s="53"/>
      <c r="AF13">
        <f>+G13*(AJ18/AJ8)</f>
        <v>2250</v>
      </c>
      <c r="AH13" s="23" t="s">
        <v>60</v>
      </c>
    </row>
    <row r="14" spans="1:38" ht="15" thickBot="1" x14ac:dyDescent="0.35">
      <c r="B14" s="82"/>
      <c r="C14" s="14"/>
      <c r="D14" s="15"/>
      <c r="E14" s="15"/>
      <c r="F14" s="17" t="s">
        <v>4</v>
      </c>
      <c r="G14" s="20">
        <v>2100</v>
      </c>
      <c r="H14" s="48"/>
      <c r="I14" s="48"/>
      <c r="J14" s="88"/>
      <c r="K14" s="70"/>
      <c r="L14" s="70"/>
      <c r="M14" s="70"/>
      <c r="N14" s="70"/>
      <c r="O14" s="1"/>
      <c r="P14" s="1"/>
      <c r="Q14" s="1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H14" s="5">
        <v>300</v>
      </c>
      <c r="AI14" s="5">
        <v>1200</v>
      </c>
      <c r="AJ14" s="5"/>
    </row>
    <row r="15" spans="1:38" ht="16.2" thickBot="1" x14ac:dyDescent="0.4">
      <c r="B15" s="134" t="s">
        <v>37</v>
      </c>
      <c r="C15" s="135"/>
      <c r="D15" s="136"/>
      <c r="E15" s="21"/>
      <c r="F15" s="16" t="s">
        <v>0</v>
      </c>
      <c r="G15" s="19">
        <v>2500</v>
      </c>
      <c r="H15" s="49"/>
      <c r="I15" s="49"/>
      <c r="J15" s="89"/>
      <c r="K15" s="70"/>
      <c r="L15" s="70"/>
      <c r="M15" s="70"/>
      <c r="N15" s="70"/>
      <c r="O15" s="1"/>
      <c r="P15" s="43"/>
      <c r="Q15" s="1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H15" s="5">
        <v>6</v>
      </c>
      <c r="AI15" s="5">
        <v>3</v>
      </c>
      <c r="AJ15" s="5"/>
    </row>
    <row r="16" spans="1:38" ht="15" thickBot="1" x14ac:dyDescent="0.35">
      <c r="B16" s="90"/>
      <c r="C16" s="91"/>
      <c r="D16" s="91"/>
      <c r="E16" s="91"/>
      <c r="F16" s="92" t="s">
        <v>4</v>
      </c>
      <c r="G16" s="93">
        <v>2580</v>
      </c>
      <c r="H16" s="94"/>
      <c r="I16" s="94"/>
      <c r="J16" s="95"/>
      <c r="K16" s="70"/>
      <c r="L16" s="70"/>
      <c r="M16" s="70"/>
      <c r="N16" s="70"/>
      <c r="O16" s="1"/>
      <c r="P16" s="42"/>
      <c r="Q16" s="1"/>
      <c r="AH16" s="5">
        <f>+AH15*AH14</f>
        <v>1800</v>
      </c>
      <c r="AI16" s="5">
        <f>+AI15*AI14</f>
        <v>3600</v>
      </c>
      <c r="AJ16" s="5">
        <f>SUM(AH16:AI16)</f>
        <v>5400</v>
      </c>
    </row>
    <row r="17" spans="1:37" x14ac:dyDescent="0.3">
      <c r="D17"/>
      <c r="E17"/>
      <c r="F17"/>
      <c r="P17" s="1"/>
      <c r="Q17" s="1"/>
      <c r="AJ17" s="60" t="s">
        <v>58</v>
      </c>
    </row>
    <row r="18" spans="1:37" x14ac:dyDescent="0.3">
      <c r="A18" s="23" t="s">
        <v>24</v>
      </c>
      <c r="D18"/>
      <c r="E18"/>
      <c r="F18"/>
      <c r="AJ18" s="23">
        <f>+AJ16/60</f>
        <v>90</v>
      </c>
    </row>
    <row r="19" spans="1:37" x14ac:dyDescent="0.3">
      <c r="D19"/>
      <c r="E19"/>
      <c r="F19"/>
      <c r="J19" s="137" t="s">
        <v>47</v>
      </c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AH19" s="23"/>
      <c r="AI19" s="23"/>
      <c r="AJ19" s="23"/>
    </row>
    <row r="20" spans="1:37" s="12" customFormat="1" x14ac:dyDescent="0.3">
      <c r="B20" s="137" t="s">
        <v>25</v>
      </c>
      <c r="C20" s="137"/>
      <c r="D20" s="137"/>
      <c r="F20" s="137" t="s">
        <v>26</v>
      </c>
      <c r="G20" s="137"/>
      <c r="H20" s="67"/>
      <c r="J20" s="137" t="s">
        <v>48</v>
      </c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/>
      <c r="V20"/>
      <c r="W20"/>
      <c r="X20"/>
      <c r="Y20"/>
      <c r="Z20"/>
      <c r="AA20"/>
      <c r="AB20"/>
      <c r="AC20"/>
      <c r="AD20"/>
      <c r="AF20" s="26"/>
      <c r="AH20" s="23" t="s">
        <v>62</v>
      </c>
      <c r="AI20" s="23"/>
      <c r="AJ20" s="23">
        <v>2100</v>
      </c>
    </row>
    <row r="21" spans="1:37" s="12" customFormat="1" ht="15" thickBot="1" x14ac:dyDescent="0.35">
      <c r="B21" s="12" t="s">
        <v>21</v>
      </c>
      <c r="D21" s="12" t="s">
        <v>22</v>
      </c>
      <c r="F21" s="12" t="s">
        <v>21</v>
      </c>
      <c r="G21" s="12" t="s">
        <v>22</v>
      </c>
      <c r="H21" s="67"/>
      <c r="J21" s="12" t="s">
        <v>21</v>
      </c>
      <c r="K21" s="71"/>
      <c r="L21" s="71"/>
      <c r="M21" s="71"/>
      <c r="N21" s="71"/>
      <c r="O21" s="26"/>
      <c r="T21" s="12" t="s">
        <v>22</v>
      </c>
      <c r="U21"/>
      <c r="V21"/>
      <c r="W21"/>
      <c r="X21"/>
      <c r="Y21"/>
      <c r="Z21"/>
      <c r="AA21"/>
      <c r="AB21"/>
      <c r="AC21"/>
      <c r="AD21"/>
      <c r="AF21" s="26"/>
      <c r="AH21"/>
      <c r="AI21" s="5">
        <v>2100</v>
      </c>
      <c r="AJ21"/>
    </row>
    <row r="22" spans="1:37" ht="15" thickBot="1" x14ac:dyDescent="0.35">
      <c r="A22" s="11" t="s">
        <v>27</v>
      </c>
      <c r="B22" s="29">
        <f>+G3*G5</f>
        <v>2200</v>
      </c>
      <c r="C22" s="29"/>
      <c r="D22" s="28">
        <f>+J3*J5</f>
        <v>6700</v>
      </c>
      <c r="E22" s="12"/>
      <c r="F22" s="28">
        <f>+G6*G4</f>
        <v>1470</v>
      </c>
      <c r="G22" s="28">
        <f>+J6*J4</f>
        <v>8160</v>
      </c>
      <c r="H22" s="28"/>
      <c r="J22" s="28">
        <f>+G5*G4</f>
        <v>1650</v>
      </c>
      <c r="K22" s="75">
        <f>+J5*J4</f>
        <v>8040</v>
      </c>
      <c r="L22" s="72"/>
      <c r="M22" s="72"/>
      <c r="N22" s="72"/>
      <c r="O22" s="28"/>
      <c r="P22" s="28"/>
      <c r="Q22" s="28"/>
      <c r="R22" s="28"/>
      <c r="S22" s="28"/>
      <c r="T22" s="57">
        <f>+J5*J4</f>
        <v>8040</v>
      </c>
      <c r="W22" s="149"/>
      <c r="X22" s="149"/>
      <c r="Y22" s="150"/>
      <c r="Z22" s="150"/>
      <c r="AI22" s="58" t="s">
        <v>63</v>
      </c>
    </row>
    <row r="23" spans="1:37" ht="15" thickBot="1" x14ac:dyDescent="0.35">
      <c r="A23" s="25" t="s">
        <v>28</v>
      </c>
      <c r="B23" s="130">
        <f>+B22+D22</f>
        <v>8900</v>
      </c>
      <c r="C23" s="130"/>
      <c r="D23" s="130"/>
      <c r="E23" s="41"/>
      <c r="F23" s="130">
        <f>+F22+G22</f>
        <v>9630</v>
      </c>
      <c r="G23" s="130"/>
      <c r="H23" s="51"/>
      <c r="J23" s="131">
        <f>+J22+T22</f>
        <v>9690</v>
      </c>
      <c r="K23" s="131"/>
      <c r="L23" s="39"/>
      <c r="M23" s="39"/>
      <c r="N23" s="39"/>
      <c r="O23" s="39"/>
      <c r="P23" s="39"/>
      <c r="Q23" s="39"/>
      <c r="R23" s="39"/>
      <c r="S23" s="39"/>
      <c r="T23" s="39"/>
      <c r="U23" s="50"/>
      <c r="V23" s="52"/>
      <c r="AH23" s="23" t="s">
        <v>64</v>
      </c>
      <c r="AI23" s="59">
        <f>+AI21/AJ18</f>
        <v>23.333333333333332</v>
      </c>
      <c r="AJ23" s="59">
        <f>+AI23/60</f>
        <v>0.3888888888888889</v>
      </c>
      <c r="AK23" s="66"/>
    </row>
    <row r="24" spans="1:37" ht="16.2" thickBot="1" x14ac:dyDescent="0.4">
      <c r="A24" t="s">
        <v>29</v>
      </c>
      <c r="B24" s="28">
        <f>+G9*G7*G3</f>
        <v>800</v>
      </c>
      <c r="C24" s="28"/>
      <c r="D24" s="101">
        <f>+G9*J7*J3</f>
        <v>2800.0000000000005</v>
      </c>
      <c r="E24" s="28"/>
      <c r="F24" s="28">
        <f>+G10*G8*G4</f>
        <v>726</v>
      </c>
      <c r="G24" s="31">
        <f>+G10*J8*J4</f>
        <v>3168</v>
      </c>
      <c r="H24" s="31"/>
      <c r="I24" s="109"/>
      <c r="J24" s="28">
        <f>+G4*G7*G9</f>
        <v>600</v>
      </c>
      <c r="K24" s="28">
        <f>+J4*J7*G9</f>
        <v>3360</v>
      </c>
      <c r="T24" s="28">
        <f>+G9*J7*J4</f>
        <v>3360.0000000000005</v>
      </c>
      <c r="U24" s="38"/>
      <c r="AA24" s="172"/>
      <c r="AF24" s="28"/>
    </row>
    <row r="25" spans="1:37" ht="16.2" thickBot="1" x14ac:dyDescent="0.4">
      <c r="A25" t="s">
        <v>30</v>
      </c>
      <c r="B25" s="75">
        <f>+(G3*G11)*(G13/AJ6)</f>
        <v>833.33333333333337</v>
      </c>
      <c r="C25" s="28"/>
      <c r="D25" s="75">
        <f>+(J3*J11)*(G13/AJ6)</f>
        <v>1666.6666666666667</v>
      </c>
      <c r="E25" s="28"/>
      <c r="F25" s="102">
        <f>+(G4*G12)*(G14/AJ16)</f>
        <v>700</v>
      </c>
      <c r="G25" s="28">
        <f>+(J4*J12)*(G14/AJ16)</f>
        <v>1400</v>
      </c>
      <c r="H25" s="28"/>
      <c r="I25" s="109"/>
      <c r="J25" s="102">
        <f>+(G4*G11)*(G13/AJ6)</f>
        <v>625</v>
      </c>
      <c r="K25" s="72">
        <f>+(J4*J11)*(G13/AJ6)</f>
        <v>2000</v>
      </c>
      <c r="AA25" s="172"/>
      <c r="AG25" s="27"/>
      <c r="AH25" s="2"/>
      <c r="AI25">
        <v>2500</v>
      </c>
      <c r="AJ25">
        <v>2100</v>
      </c>
    </row>
    <row r="26" spans="1:37" x14ac:dyDescent="0.3">
      <c r="A26" t="s">
        <v>31</v>
      </c>
      <c r="B26" s="75">
        <f>+B22-B24-B25</f>
        <v>566.66666666666663</v>
      </c>
      <c r="C26" s="1"/>
      <c r="D26" s="75">
        <f>+D22-D24-D25</f>
        <v>2233.333333333333</v>
      </c>
      <c r="F26" s="75">
        <f>+F22-F24-F25</f>
        <v>44</v>
      </c>
      <c r="G26" s="75">
        <f>+G22-G24-G25</f>
        <v>3592</v>
      </c>
      <c r="H26" s="75"/>
      <c r="I26" s="1"/>
      <c r="J26" s="75">
        <f>+J22-J24-J25</f>
        <v>425</v>
      </c>
      <c r="K26" s="75">
        <f>+K22-K24-K25</f>
        <v>2680</v>
      </c>
      <c r="L26" s="70"/>
      <c r="M26" s="70"/>
      <c r="N26" s="70"/>
      <c r="O26" s="1"/>
      <c r="P26" s="1"/>
      <c r="Q26" s="1"/>
      <c r="R26" s="1"/>
      <c r="S26" s="1"/>
      <c r="T26" s="1">
        <f t="shared" ref="T26" si="0">+T23-T25-T24</f>
        <v>-3360.0000000000005</v>
      </c>
      <c r="U26" s="1"/>
      <c r="V26" s="1"/>
      <c r="W26" s="1"/>
      <c r="X26" s="1"/>
      <c r="Y26" s="1"/>
      <c r="Z26" s="1"/>
      <c r="AA26" s="1"/>
      <c r="AB26" s="1"/>
      <c r="AC26" s="1"/>
      <c r="AD26" s="1"/>
      <c r="AF26" s="75"/>
      <c r="AH26" s="58" t="s">
        <v>69</v>
      </c>
      <c r="AI26">
        <v>400</v>
      </c>
      <c r="AJ26">
        <f>1200*14</f>
        <v>16800</v>
      </c>
    </row>
    <row r="27" spans="1:37" x14ac:dyDescent="0.3">
      <c r="A27" s="24" t="s">
        <v>32</v>
      </c>
      <c r="B27" s="130">
        <f>+B26+D26</f>
        <v>2799.9999999999995</v>
      </c>
      <c r="C27" s="130"/>
      <c r="D27" s="130"/>
      <c r="E27" s="39"/>
      <c r="F27" s="130">
        <f>+F26+G26</f>
        <v>3636</v>
      </c>
      <c r="G27" s="130"/>
      <c r="H27" s="68"/>
      <c r="I27" s="39"/>
      <c r="J27" s="130">
        <f>+J26+K26</f>
        <v>3105</v>
      </c>
      <c r="K27" s="130"/>
      <c r="L27" s="73"/>
      <c r="M27" s="73"/>
      <c r="N27" s="73"/>
      <c r="O27" s="40"/>
      <c r="P27" s="40"/>
      <c r="Q27" s="40"/>
      <c r="R27" s="40"/>
      <c r="S27" s="40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F27" s="39"/>
      <c r="AI27">
        <f>+AI25/AI26</f>
        <v>6.25</v>
      </c>
      <c r="AJ27">
        <f>+AJ25/AJ26</f>
        <v>0.125</v>
      </c>
    </row>
    <row r="28" spans="1:37" ht="15.6" x14ac:dyDescent="0.35">
      <c r="A28" s="24" t="s">
        <v>34</v>
      </c>
      <c r="B28" s="130">
        <f>+G15</f>
        <v>2500</v>
      </c>
      <c r="C28" s="130"/>
      <c r="D28" s="133"/>
      <c r="E28" s="11"/>
      <c r="F28" s="130">
        <f>+G16</f>
        <v>2580</v>
      </c>
      <c r="G28" s="133"/>
      <c r="H28" s="69"/>
      <c r="I28" s="11"/>
      <c r="J28" s="39">
        <f>+G15</f>
        <v>2500</v>
      </c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H28" s="58"/>
    </row>
    <row r="29" spans="1:37" ht="15" thickBot="1" x14ac:dyDescent="0.35">
      <c r="A29" s="24" t="s">
        <v>33</v>
      </c>
      <c r="B29" s="106">
        <f>+B27-B28</f>
        <v>299.99999999999955</v>
      </c>
      <c r="C29" s="106"/>
      <c r="D29" s="106"/>
      <c r="E29" s="107"/>
      <c r="F29" s="108">
        <f t="shared" ref="F29:T29" si="1">+F27-F28</f>
        <v>1056</v>
      </c>
      <c r="G29" s="108"/>
      <c r="H29" s="108"/>
      <c r="I29" s="107"/>
      <c r="J29" s="132">
        <f t="shared" si="1"/>
        <v>605</v>
      </c>
      <c r="K29" s="132"/>
      <c r="L29" s="70"/>
      <c r="M29" s="70"/>
      <c r="N29" s="70"/>
      <c r="O29" s="1"/>
      <c r="P29" s="1"/>
      <c r="Q29" s="1"/>
      <c r="R29" s="1"/>
      <c r="S29" s="1"/>
      <c r="T29" s="1">
        <f t="shared" si="1"/>
        <v>0</v>
      </c>
      <c r="U29" s="1"/>
      <c r="V29" s="1"/>
      <c r="W29" s="1"/>
      <c r="X29" s="1"/>
      <c r="Y29" s="1"/>
      <c r="Z29" s="1"/>
      <c r="AA29" s="1"/>
      <c r="AB29" s="1"/>
      <c r="AC29" s="1"/>
      <c r="AD29" s="1"/>
      <c r="AH29" s="23"/>
    </row>
    <row r="30" spans="1:37" ht="15" thickTop="1" x14ac:dyDescent="0.3">
      <c r="D30"/>
      <c r="E30"/>
      <c r="F30"/>
      <c r="AH30" s="5"/>
      <c r="AI30" s="5"/>
      <c r="AJ30" s="5"/>
    </row>
    <row r="31" spans="1:37" x14ac:dyDescent="0.3">
      <c r="A31" s="23" t="s">
        <v>95</v>
      </c>
      <c r="B31">
        <f>6000/60</f>
        <v>100</v>
      </c>
      <c r="D31"/>
      <c r="E31"/>
      <c r="F31">
        <f>5400/60</f>
        <v>90</v>
      </c>
      <c r="AH31" s="5"/>
      <c r="AI31" s="5"/>
      <c r="AJ31" s="5"/>
    </row>
    <row r="32" spans="1:37" x14ac:dyDescent="0.3">
      <c r="A32" s="23" t="s">
        <v>40</v>
      </c>
      <c r="D32"/>
      <c r="E32"/>
      <c r="F32"/>
      <c r="AH32" s="5"/>
      <c r="AI32" s="5"/>
      <c r="AJ32" s="5"/>
    </row>
    <row r="33" spans="1:36" ht="15" thickBot="1" x14ac:dyDescent="0.35">
      <c r="B33" s="12" t="s">
        <v>41</v>
      </c>
      <c r="C33" s="12"/>
      <c r="D33" s="12" t="s">
        <v>42</v>
      </c>
      <c r="E33" s="12"/>
      <c r="F33" s="12" t="s">
        <v>43</v>
      </c>
      <c r="AH33" s="23"/>
      <c r="AJ33" s="23"/>
    </row>
    <row r="34" spans="1:36" ht="15" thickBot="1" x14ac:dyDescent="0.35">
      <c r="A34" t="s">
        <v>38</v>
      </c>
      <c r="B34" s="5">
        <f>+J23-B23</f>
        <v>790</v>
      </c>
      <c r="C34" s="44"/>
      <c r="D34" s="5">
        <v>-60</v>
      </c>
      <c r="E34" s="51"/>
      <c r="F34" s="5">
        <f>+D34+B34</f>
        <v>730</v>
      </c>
      <c r="J34" t="s">
        <v>97</v>
      </c>
      <c r="AI34" s="5"/>
    </row>
    <row r="35" spans="1:36" ht="15.6" x14ac:dyDescent="0.35">
      <c r="A35" t="s">
        <v>29</v>
      </c>
      <c r="B35" s="5">
        <f>+(B24+D24)-(J24+K24)</f>
        <v>-359.99999999999955</v>
      </c>
      <c r="C35" s="5"/>
      <c r="D35" s="5">
        <f>-(F24+G24)+(J24+K24)</f>
        <v>66</v>
      </c>
      <c r="E35" s="5"/>
      <c r="F35" s="5">
        <f>SUM(B35:D35)</f>
        <v>-293.99999999999955</v>
      </c>
      <c r="J35" t="s">
        <v>96</v>
      </c>
      <c r="AI35" s="58"/>
    </row>
    <row r="36" spans="1:36" ht="15.6" x14ac:dyDescent="0.35">
      <c r="A36" t="s">
        <v>30</v>
      </c>
      <c r="B36" s="5">
        <f>-(J25+K25)+(B25+D25)</f>
        <v>-125</v>
      </c>
      <c r="C36" s="5"/>
      <c r="D36" s="5">
        <f>+(J25+K25)-(F25+G25)</f>
        <v>525</v>
      </c>
      <c r="E36" s="5"/>
      <c r="F36" s="5">
        <f>SUM(B36:D36)</f>
        <v>400</v>
      </c>
      <c r="J36" t="s">
        <v>96</v>
      </c>
      <c r="AH36" s="23"/>
      <c r="AI36" s="59"/>
      <c r="AJ36" s="59"/>
    </row>
    <row r="37" spans="1:36" ht="15" thickBot="1" x14ac:dyDescent="0.35">
      <c r="A37" t="s">
        <v>39</v>
      </c>
      <c r="B37" s="5">
        <f>SUM(B34:B36)</f>
        <v>305.00000000000045</v>
      </c>
      <c r="C37" s="5"/>
      <c r="D37" s="5">
        <f>SUM(D34:D36)</f>
        <v>531</v>
      </c>
      <c r="E37" s="5"/>
      <c r="F37" s="5">
        <f>SUM(F34:F36)</f>
        <v>836.00000000000045</v>
      </c>
    </row>
    <row r="38" spans="1:36" ht="16.2" thickBot="1" x14ac:dyDescent="0.4">
      <c r="A38" s="24" t="s">
        <v>34</v>
      </c>
      <c r="B38" s="5"/>
      <c r="C38" s="5"/>
      <c r="D38" s="5">
        <f>+G15-G16</f>
        <v>-80</v>
      </c>
      <c r="E38" s="45"/>
      <c r="F38" s="5">
        <f t="shared" ref="F38" si="2">+D38+B38</f>
        <v>-80</v>
      </c>
    </row>
    <row r="39" spans="1:36" x14ac:dyDescent="0.3">
      <c r="A39" t="s">
        <v>33</v>
      </c>
      <c r="B39" s="5">
        <f>+B37-B38</f>
        <v>305.00000000000045</v>
      </c>
      <c r="C39" s="5">
        <f t="shared" ref="C39:E39" si="3">+C37-C38</f>
        <v>0</v>
      </c>
      <c r="D39" s="5">
        <f>SUM(D37:D38)</f>
        <v>451</v>
      </c>
      <c r="E39" s="5">
        <f t="shared" si="3"/>
        <v>0</v>
      </c>
      <c r="F39" s="5">
        <f>SUM(F37:F38)</f>
        <v>756.00000000000045</v>
      </c>
    </row>
    <row r="40" spans="1:36" x14ac:dyDescent="0.3">
      <c r="B40" s="5"/>
      <c r="C40" s="5"/>
      <c r="D40" s="5"/>
      <c r="E40" s="5"/>
      <c r="F40" s="5"/>
    </row>
    <row r="41" spans="1:36" ht="15" thickBot="1" x14ac:dyDescent="0.35">
      <c r="D41" t="s">
        <v>0</v>
      </c>
      <c r="E41"/>
      <c r="F41" t="s">
        <v>4</v>
      </c>
      <c r="G41" t="s">
        <v>52</v>
      </c>
    </row>
    <row r="42" spans="1:36" ht="15" thickBot="1" x14ac:dyDescent="0.35">
      <c r="A42" t="s">
        <v>51</v>
      </c>
      <c r="B42" t="s">
        <v>21</v>
      </c>
      <c r="D42" s="5">
        <f>+J22</f>
        <v>1650</v>
      </c>
      <c r="E42" s="5"/>
      <c r="F42" s="5">
        <f>+F22</f>
        <v>1470</v>
      </c>
      <c r="G42" s="5">
        <f>+F42-D42</f>
        <v>-180</v>
      </c>
      <c r="H42" s="5"/>
      <c r="I42" s="149"/>
    </row>
    <row r="43" spans="1:36" ht="15" thickBot="1" x14ac:dyDescent="0.35">
      <c r="B43" t="s">
        <v>22</v>
      </c>
      <c r="D43" s="5">
        <f>+K22</f>
        <v>8040</v>
      </c>
      <c r="E43" s="5"/>
      <c r="F43" s="5">
        <f>+G22</f>
        <v>8160</v>
      </c>
      <c r="G43" s="5">
        <f>+F43-D43</f>
        <v>120</v>
      </c>
      <c r="H43" s="5"/>
      <c r="I43" s="150"/>
    </row>
    <row r="44" spans="1:36" x14ac:dyDescent="0.3">
      <c r="D44" s="5"/>
      <c r="E44" s="5"/>
      <c r="F44" s="5"/>
      <c r="G44" s="55">
        <f>SUM(G42:G43)</f>
        <v>-60</v>
      </c>
      <c r="H44" s="148"/>
    </row>
    <row r="45" spans="1:36" ht="15" thickBot="1" x14ac:dyDescent="0.35">
      <c r="D45" s="5"/>
      <c r="E45" s="5"/>
      <c r="F45" s="5"/>
      <c r="G45" s="5"/>
      <c r="H45" s="5"/>
    </row>
    <row r="46" spans="1:36" ht="15" thickBot="1" x14ac:dyDescent="0.35">
      <c r="A46" t="s">
        <v>53</v>
      </c>
      <c r="B46" t="s">
        <v>21</v>
      </c>
      <c r="D46" s="5">
        <f>+J24+J25</f>
        <v>1225</v>
      </c>
      <c r="E46" s="5"/>
      <c r="F46" s="5">
        <f>+F24+F25</f>
        <v>1426</v>
      </c>
      <c r="G46" s="5">
        <f>+D46-F46</f>
        <v>-201</v>
      </c>
      <c r="H46" s="5"/>
      <c r="I46" s="172"/>
      <c r="J46" s="27"/>
    </row>
    <row r="47" spans="1:36" x14ac:dyDescent="0.3">
      <c r="A47" t="s">
        <v>54</v>
      </c>
      <c r="B47" t="s">
        <v>22</v>
      </c>
      <c r="D47" s="5">
        <f>+K24+K25</f>
        <v>5360</v>
      </c>
      <c r="E47" s="5"/>
      <c r="F47" s="5">
        <f>+G24+G25</f>
        <v>4568</v>
      </c>
      <c r="G47" s="5">
        <f>+D47-F47</f>
        <v>792</v>
      </c>
      <c r="H47" s="5"/>
    </row>
    <row r="48" spans="1:36" x14ac:dyDescent="0.3">
      <c r="D48" s="5"/>
      <c r="E48" s="5"/>
      <c r="F48" s="5"/>
      <c r="G48" s="55">
        <f>SUM(G46:G47)</f>
        <v>591</v>
      </c>
      <c r="H48" s="148"/>
    </row>
    <row r="49" spans="1:10" x14ac:dyDescent="0.3">
      <c r="D49" s="5"/>
      <c r="E49" s="5"/>
      <c r="F49" s="5"/>
      <c r="G49" s="5"/>
      <c r="H49" s="5"/>
    </row>
    <row r="50" spans="1:10" ht="15" thickBot="1" x14ac:dyDescent="0.35">
      <c r="A50" t="s">
        <v>55</v>
      </c>
      <c r="D50" s="5"/>
      <c r="E50" s="5"/>
      <c r="F50" s="5"/>
      <c r="G50" s="173">
        <f>+G48+G44</f>
        <v>531</v>
      </c>
      <c r="H50" s="148"/>
    </row>
    <row r="51" spans="1:10" ht="15" thickTop="1" x14ac:dyDescent="0.3">
      <c r="D51" s="5"/>
      <c r="E51" s="5"/>
      <c r="F51" s="5"/>
      <c r="G51" s="5"/>
      <c r="H51" s="5"/>
    </row>
    <row r="52" spans="1:10" x14ac:dyDescent="0.3">
      <c r="A52" t="s">
        <v>56</v>
      </c>
      <c r="D52" s="5"/>
      <c r="E52" s="5"/>
      <c r="F52" s="5"/>
      <c r="G52" s="5"/>
      <c r="H52" s="5"/>
    </row>
    <row r="53" spans="1:10" x14ac:dyDescent="0.3">
      <c r="B53" t="s">
        <v>21</v>
      </c>
      <c r="D53" s="5"/>
      <c r="E53" s="5"/>
      <c r="F53" s="5"/>
      <c r="G53" s="5"/>
      <c r="H53" s="5"/>
    </row>
    <row r="54" spans="1:10" ht="16.8" x14ac:dyDescent="0.35">
      <c r="D54" s="56" t="s">
        <v>57</v>
      </c>
      <c r="E54" s="5"/>
      <c r="F54" s="5"/>
      <c r="G54" s="5"/>
      <c r="H54" s="5"/>
    </row>
    <row r="55" spans="1:10" x14ac:dyDescent="0.3">
      <c r="D55" s="56"/>
      <c r="E55" s="5"/>
      <c r="F55" s="5"/>
      <c r="G55" s="5"/>
      <c r="H55" s="5"/>
    </row>
    <row r="56" spans="1:10" x14ac:dyDescent="0.3">
      <c r="A56" t="s">
        <v>134</v>
      </c>
      <c r="D56" s="175" t="s">
        <v>0</v>
      </c>
      <c r="E56" s="61"/>
      <c r="F56" s="61" t="s">
        <v>4</v>
      </c>
      <c r="G56" s="5"/>
      <c r="H56" s="5"/>
    </row>
    <row r="57" spans="1:10" x14ac:dyDescent="0.3">
      <c r="A57" t="s">
        <v>1</v>
      </c>
      <c r="D57" s="174">
        <f>+G9</f>
        <v>0.2</v>
      </c>
      <c r="F57" s="174">
        <f>+G10</f>
        <v>0.22</v>
      </c>
      <c r="G57" s="5"/>
      <c r="H57" s="5"/>
    </row>
    <row r="58" spans="1:10" x14ac:dyDescent="0.3">
      <c r="A58" t="s">
        <v>135</v>
      </c>
      <c r="D58" s="5">
        <f>+G4*G7</f>
        <v>3000</v>
      </c>
      <c r="E58" s="5"/>
      <c r="F58" s="5">
        <f>+G4*G8</f>
        <v>3300</v>
      </c>
      <c r="G58" s="5"/>
      <c r="H58" s="5"/>
      <c r="J58" t="s">
        <v>140</v>
      </c>
    </row>
    <row r="59" spans="1:10" x14ac:dyDescent="0.3">
      <c r="A59" t="s">
        <v>136</v>
      </c>
      <c r="D59" s="56">
        <f>+J4*J7</f>
        <v>16800</v>
      </c>
      <c r="E59" s="5"/>
      <c r="F59" s="5">
        <f>+J8*J4</f>
        <v>14400</v>
      </c>
      <c r="G59" s="5"/>
      <c r="H59" s="5"/>
      <c r="J59" t="s">
        <v>140</v>
      </c>
    </row>
    <row r="60" spans="1:10" x14ac:dyDescent="0.3">
      <c r="D60" s="56"/>
      <c r="E60" s="5"/>
      <c r="F60" s="5"/>
      <c r="G60" s="5"/>
      <c r="H60" s="5"/>
    </row>
    <row r="61" spans="1:10" x14ac:dyDescent="0.3">
      <c r="D61" s="175" t="s">
        <v>21</v>
      </c>
      <c r="E61" s="61"/>
      <c r="F61" s="61" t="s">
        <v>22</v>
      </c>
      <c r="G61" s="5"/>
      <c r="H61" s="5"/>
    </row>
    <row r="62" spans="1:10" x14ac:dyDescent="0.3">
      <c r="A62" t="s">
        <v>137</v>
      </c>
      <c r="D62" s="1">
        <f>-(F58*F57)+(F58*D57)</f>
        <v>-66</v>
      </c>
      <c r="E62" s="5"/>
      <c r="F62" s="5">
        <f>+(F59*D57)-(F59*F57)</f>
        <v>-288</v>
      </c>
      <c r="G62" s="5"/>
      <c r="H62" s="5"/>
      <c r="J62" t="s">
        <v>139</v>
      </c>
    </row>
    <row r="63" spans="1:10" x14ac:dyDescent="0.3">
      <c r="A63" t="s">
        <v>44</v>
      </c>
      <c r="D63" s="56">
        <f>+(D57*D58)-(F57*D58)</f>
        <v>-60</v>
      </c>
      <c r="E63" s="5"/>
      <c r="F63" s="5">
        <f>-(F59*D57)+(D59*D57)</f>
        <v>480</v>
      </c>
      <c r="G63" s="5"/>
      <c r="H63" s="5"/>
      <c r="J63" t="s">
        <v>138</v>
      </c>
    </row>
    <row r="64" spans="1:10" x14ac:dyDescent="0.3">
      <c r="A64" t="s">
        <v>43</v>
      </c>
      <c r="D64" s="56">
        <f>(D57*D58)-(F57*F58)</f>
        <v>-126</v>
      </c>
      <c r="E64" s="5"/>
      <c r="F64" s="5">
        <f>+(D57*D59)-(F57*F59)</f>
        <v>192</v>
      </c>
      <c r="G64" s="5"/>
      <c r="H64" s="5"/>
      <c r="J64" t="s">
        <v>141</v>
      </c>
    </row>
    <row r="65" spans="1:10" x14ac:dyDescent="0.3">
      <c r="D65" s="56"/>
      <c r="E65" s="5"/>
      <c r="F65" s="5"/>
      <c r="G65" s="5"/>
      <c r="H65" s="5"/>
    </row>
    <row r="66" spans="1:10" ht="15.6" x14ac:dyDescent="0.35">
      <c r="A66" t="s">
        <v>29</v>
      </c>
      <c r="D66" s="56" t="s">
        <v>142</v>
      </c>
      <c r="E66" s="5"/>
      <c r="F66" s="5"/>
      <c r="G66" s="5" t="s">
        <v>143</v>
      </c>
      <c r="H66" s="5"/>
      <c r="J66" t="s">
        <v>147</v>
      </c>
    </row>
    <row r="67" spans="1:10" x14ac:dyDescent="0.3">
      <c r="D67" s="56" t="s">
        <v>144</v>
      </c>
      <c r="E67" s="5"/>
      <c r="F67" s="5"/>
      <c r="G67" s="5" t="s">
        <v>145</v>
      </c>
      <c r="H67" s="5"/>
      <c r="J67" t="s">
        <v>146</v>
      </c>
    </row>
    <row r="68" spans="1:10" x14ac:dyDescent="0.3">
      <c r="D68" s="56"/>
      <c r="E68" s="5"/>
      <c r="F68" s="5"/>
      <c r="G68" s="5"/>
      <c r="H68" s="5"/>
    </row>
    <row r="69" spans="1:10" x14ac:dyDescent="0.3">
      <c r="D69" s="5"/>
      <c r="E69" s="5"/>
      <c r="F69" s="5"/>
      <c r="G69" s="5"/>
      <c r="H69" s="5"/>
    </row>
    <row r="70" spans="1:10" x14ac:dyDescent="0.3">
      <c r="F70" s="61" t="s">
        <v>0</v>
      </c>
      <c r="G70" s="61" t="s">
        <v>4</v>
      </c>
      <c r="H70" s="61"/>
    </row>
    <row r="71" spans="1:10" x14ac:dyDescent="0.3">
      <c r="A71" t="s">
        <v>66</v>
      </c>
      <c r="F71" s="1">
        <f>+AJ11</f>
        <v>0.41666666666666669</v>
      </c>
      <c r="G71" s="1">
        <f>+AJ23</f>
        <v>0.3888888888888889</v>
      </c>
      <c r="H71" s="1"/>
    </row>
    <row r="72" spans="1:10" ht="15" thickBot="1" x14ac:dyDescent="0.35">
      <c r="A72" t="s">
        <v>148</v>
      </c>
      <c r="F72" s="1">
        <f>+G11*(F58-D58)</f>
        <v>1500</v>
      </c>
      <c r="G72" s="111">
        <f>+G12*(F58-D58)</f>
        <v>1800</v>
      </c>
      <c r="H72" s="1"/>
    </row>
    <row r="73" spans="1:10" x14ac:dyDescent="0.3">
      <c r="A73" t="s">
        <v>149</v>
      </c>
      <c r="F73" s="1">
        <f>+J11*(D59-F59)</f>
        <v>9600</v>
      </c>
      <c r="G73" s="177">
        <f>+J12*(D59-F59)</f>
        <v>7200</v>
      </c>
      <c r="H73" s="178"/>
      <c r="I73" s="179"/>
      <c r="J73" s="180"/>
    </row>
    <row r="74" spans="1:10" x14ac:dyDescent="0.3">
      <c r="F74" s="1">
        <f>+F73/2</f>
        <v>4800</v>
      </c>
      <c r="G74" s="181">
        <f>+G73/2</f>
        <v>3600</v>
      </c>
      <c r="H74" s="182"/>
      <c r="I74" s="183"/>
      <c r="J74" s="184" t="s">
        <v>150</v>
      </c>
    </row>
    <row r="75" spans="1:10" x14ac:dyDescent="0.3">
      <c r="G75" s="181"/>
      <c r="H75" s="182"/>
      <c r="I75" s="183"/>
      <c r="J75" s="184"/>
    </row>
    <row r="76" spans="1:10" x14ac:dyDescent="0.3">
      <c r="G76" s="181"/>
      <c r="H76" s="182"/>
      <c r="I76" s="183"/>
      <c r="J76" s="184"/>
    </row>
    <row r="77" spans="1:10" x14ac:dyDescent="0.3">
      <c r="A77" t="s">
        <v>151</v>
      </c>
      <c r="F77" s="1">
        <f>+(G72*F71)-(G72*G71)</f>
        <v>50</v>
      </c>
      <c r="G77" s="181">
        <f>+(G74*F71)+(G74*G71)</f>
        <v>2900</v>
      </c>
      <c r="H77" s="182"/>
      <c r="I77" s="183"/>
      <c r="J77" s="184"/>
    </row>
    <row r="78" spans="1:10" x14ac:dyDescent="0.3">
      <c r="A78" t="s">
        <v>152</v>
      </c>
      <c r="F78" s="1">
        <f>-(G72*F71)+(F72*F71)</f>
        <v>-125</v>
      </c>
      <c r="G78" s="181"/>
      <c r="H78" s="182"/>
      <c r="I78" s="183"/>
      <c r="J78" s="184"/>
    </row>
    <row r="79" spans="1:10" ht="15" thickBot="1" x14ac:dyDescent="0.35">
      <c r="A79" t="s">
        <v>153</v>
      </c>
      <c r="F79" s="1">
        <f>+(F72*F71)-(G72*G71)</f>
        <v>-75</v>
      </c>
      <c r="G79" s="185">
        <f>+(F74*F71)+(G74*G71)</f>
        <v>3400</v>
      </c>
      <c r="H79" s="186"/>
      <c r="I79" s="187"/>
      <c r="J79" s="188"/>
    </row>
    <row r="80" spans="1:10" x14ac:dyDescent="0.3">
      <c r="G80" s="1"/>
      <c r="H80" s="1"/>
    </row>
    <row r="81" spans="1:11" x14ac:dyDescent="0.3">
      <c r="A81" t="s">
        <v>154</v>
      </c>
      <c r="D81" s="174" t="s">
        <v>156</v>
      </c>
      <c r="G81" s="1"/>
      <c r="H81" s="1"/>
    </row>
    <row r="82" spans="1:11" x14ac:dyDescent="0.3">
      <c r="A82" t="s">
        <v>155</v>
      </c>
      <c r="D82" s="174" t="s">
        <v>157</v>
      </c>
      <c r="G82" s="1"/>
      <c r="H82" s="1"/>
    </row>
    <row r="83" spans="1:11" x14ac:dyDescent="0.3">
      <c r="G83" s="1"/>
      <c r="H83" s="1"/>
    </row>
    <row r="84" spans="1:11" x14ac:dyDescent="0.3">
      <c r="A84" t="s">
        <v>158</v>
      </c>
      <c r="F84" s="189">
        <v>2500</v>
      </c>
      <c r="G84" s="189">
        <v>2100</v>
      </c>
      <c r="H84" s="1"/>
    </row>
    <row r="85" spans="1:11" x14ac:dyDescent="0.3">
      <c r="A85" t="s">
        <v>87</v>
      </c>
      <c r="F85" s="75">
        <f>+G15</f>
        <v>2500</v>
      </c>
      <c r="G85" s="75">
        <f>+G16</f>
        <v>2580</v>
      </c>
      <c r="H85" s="75"/>
    </row>
    <row r="86" spans="1:11" x14ac:dyDescent="0.3">
      <c r="A86" t="s">
        <v>88</v>
      </c>
      <c r="F86" s="189">
        <f>+AJ6/60</f>
        <v>100</v>
      </c>
      <c r="G86" s="189">
        <f>+AJ16/60</f>
        <v>90</v>
      </c>
      <c r="H86" s="1"/>
    </row>
    <row r="87" spans="1:11" x14ac:dyDescent="0.3">
      <c r="F87" s="1">
        <f>+F85/F86</f>
        <v>25</v>
      </c>
      <c r="G87" s="1">
        <f>+G84/G86</f>
        <v>23.333333333333332</v>
      </c>
      <c r="H87" s="1"/>
      <c r="J87" s="176" t="s">
        <v>159</v>
      </c>
    </row>
    <row r="88" spans="1:11" x14ac:dyDescent="0.3">
      <c r="A88" t="s">
        <v>68</v>
      </c>
      <c r="F88" s="1">
        <f>+F87/60</f>
        <v>0.41666666666666669</v>
      </c>
      <c r="G88" s="1">
        <f>+G87/60</f>
        <v>0.3888888888888889</v>
      </c>
      <c r="H88" s="1"/>
      <c r="J88" s="111">
        <v>0</v>
      </c>
    </row>
    <row r="89" spans="1:11" x14ac:dyDescent="0.3">
      <c r="A89" t="s">
        <v>67</v>
      </c>
    </row>
    <row r="91" spans="1:11" x14ac:dyDescent="0.3">
      <c r="F91" s="62" t="s">
        <v>162</v>
      </c>
      <c r="G91" s="67" t="s">
        <v>45</v>
      </c>
      <c r="H91" s="67"/>
      <c r="I91" s="67"/>
      <c r="J91" s="67" t="s">
        <v>163</v>
      </c>
      <c r="K91" s="71" t="s">
        <v>165</v>
      </c>
    </row>
    <row r="92" spans="1:11" x14ac:dyDescent="0.3">
      <c r="A92" t="s">
        <v>160</v>
      </c>
      <c r="F92" s="5">
        <v>2072</v>
      </c>
      <c r="G92" s="5">
        <f>+F92-J92</f>
        <v>-28</v>
      </c>
      <c r="H92" s="5"/>
      <c r="I92" s="5"/>
      <c r="J92" s="5">
        <v>2100</v>
      </c>
      <c r="K92" s="191"/>
    </row>
    <row r="93" spans="1:11" x14ac:dyDescent="0.3">
      <c r="A93" t="s">
        <v>161</v>
      </c>
      <c r="F93" s="5">
        <v>2570</v>
      </c>
      <c r="G93" s="5">
        <f>+F93-J93</f>
        <v>-10</v>
      </c>
      <c r="H93" s="5"/>
      <c r="I93" s="5"/>
      <c r="J93" s="5">
        <v>2580</v>
      </c>
      <c r="K93" s="191"/>
    </row>
    <row r="94" spans="1:11" x14ac:dyDescent="0.3">
      <c r="F94" s="5"/>
      <c r="G94" s="5"/>
      <c r="H94" s="5"/>
      <c r="I94" s="5"/>
      <c r="J94" s="5"/>
      <c r="K94" s="191"/>
    </row>
    <row r="95" spans="1:11" x14ac:dyDescent="0.3">
      <c r="F95" s="62" t="s">
        <v>164</v>
      </c>
      <c r="G95" s="67" t="s">
        <v>45</v>
      </c>
      <c r="H95" s="67"/>
      <c r="I95" s="67"/>
      <c r="J95" s="67" t="s">
        <v>163</v>
      </c>
      <c r="K95" s="192" t="s">
        <v>166</v>
      </c>
    </row>
    <row r="96" spans="1:11" x14ac:dyDescent="0.3">
      <c r="A96" t="s">
        <v>160</v>
      </c>
      <c r="F96" s="5">
        <f>+G13*(AJ18/AJ8)</f>
        <v>2250</v>
      </c>
      <c r="G96" s="5">
        <f>+F96-J96</f>
        <v>178</v>
      </c>
      <c r="H96" s="5"/>
      <c r="I96" s="5"/>
      <c r="J96" s="5">
        <v>2072</v>
      </c>
      <c r="K96" s="191"/>
    </row>
    <row r="97" spans="1:33" x14ac:dyDescent="0.3">
      <c r="A97" t="s">
        <v>161</v>
      </c>
      <c r="F97" s="5">
        <f>+G15</f>
        <v>2500</v>
      </c>
      <c r="G97" s="5">
        <f>+F97-J97</f>
        <v>-70</v>
      </c>
      <c r="H97" s="5"/>
      <c r="I97" s="5"/>
      <c r="J97" s="5">
        <v>2570</v>
      </c>
      <c r="K97" s="191"/>
    </row>
    <row r="98" spans="1:33" x14ac:dyDescent="0.3">
      <c r="F98" s="5"/>
      <c r="G98" s="5"/>
      <c r="H98" s="5"/>
      <c r="I98" s="5"/>
      <c r="J98" s="5"/>
      <c r="K98" s="190"/>
    </row>
    <row r="99" spans="1:33" x14ac:dyDescent="0.3">
      <c r="F99" s="62" t="s">
        <v>164</v>
      </c>
      <c r="G99" s="67" t="s">
        <v>45</v>
      </c>
      <c r="H99" s="67"/>
      <c r="I99" s="67"/>
      <c r="J99" s="67" t="s">
        <v>163</v>
      </c>
      <c r="K99" s="190"/>
    </row>
    <row r="100" spans="1:33" x14ac:dyDescent="0.3">
      <c r="A100" t="s">
        <v>160</v>
      </c>
      <c r="F100" s="5">
        <v>2625</v>
      </c>
      <c r="G100" s="5">
        <f>+F100-J100</f>
        <v>375</v>
      </c>
      <c r="H100" s="5"/>
      <c r="I100" s="5"/>
      <c r="J100" s="5">
        <v>2250</v>
      </c>
      <c r="K100" s="190"/>
    </row>
    <row r="101" spans="1:33" ht="15" thickBot="1" x14ac:dyDescent="0.35">
      <c r="A101" t="s">
        <v>161</v>
      </c>
      <c r="F101" s="5">
        <v>2500</v>
      </c>
      <c r="G101" s="5"/>
      <c r="H101" s="5"/>
      <c r="I101" s="5"/>
      <c r="J101" s="5">
        <v>2500</v>
      </c>
      <c r="K101" s="190"/>
    </row>
    <row r="102" spans="1:33" ht="15" thickBot="1" x14ac:dyDescent="0.35">
      <c r="F102" s="5">
        <f>((G4*G11)+(J4*J11))/60</f>
        <v>105</v>
      </c>
      <c r="G102" s="5"/>
      <c r="H102" s="5"/>
      <c r="I102" s="5"/>
      <c r="J102" s="5">
        <f>+((G4*G12)+(J4*J12))/60</f>
        <v>90</v>
      </c>
      <c r="K102" s="190" t="s">
        <v>95</v>
      </c>
      <c r="N102" s="193"/>
    </row>
    <row r="103" spans="1:33" x14ac:dyDescent="0.3">
      <c r="F103" s="5"/>
      <c r="G103" s="5"/>
      <c r="H103" s="5"/>
      <c r="I103" s="5"/>
      <c r="J103" s="5"/>
      <c r="K103" s="190"/>
    </row>
    <row r="104" spans="1:33" x14ac:dyDescent="0.3">
      <c r="A104" s="23" t="s">
        <v>167</v>
      </c>
      <c r="F104" s="5"/>
      <c r="G104" s="5"/>
      <c r="H104" s="5"/>
      <c r="I104" s="5"/>
      <c r="J104" s="5"/>
      <c r="K104" s="190"/>
    </row>
    <row r="105" spans="1:33" x14ac:dyDescent="0.3">
      <c r="F105" s="5"/>
      <c r="G105" s="5"/>
      <c r="H105" s="5"/>
      <c r="I105" s="5"/>
      <c r="J105" s="5"/>
      <c r="K105" s="190"/>
    </row>
    <row r="107" spans="1:33" ht="15" thickBot="1" x14ac:dyDescent="0.35">
      <c r="A107" t="s">
        <v>70</v>
      </c>
    </row>
    <row r="108" spans="1:33" ht="15" thickBot="1" x14ac:dyDescent="0.35">
      <c r="A108" t="s">
        <v>0</v>
      </c>
      <c r="B108" t="s">
        <v>72</v>
      </c>
      <c r="E108" s="64"/>
    </row>
    <row r="109" spans="1:33" ht="15" thickBot="1" x14ac:dyDescent="0.35">
      <c r="A109" t="s">
        <v>4</v>
      </c>
      <c r="B109" t="s">
        <v>73</v>
      </c>
      <c r="E109" s="66"/>
    </row>
    <row r="111" spans="1:33" x14ac:dyDescent="0.3">
      <c r="A111" t="s">
        <v>71</v>
      </c>
    </row>
    <row r="112" spans="1:33" x14ac:dyDescent="0.3">
      <c r="G112" s="1"/>
      <c r="H112" s="1"/>
      <c r="I112" s="1"/>
      <c r="J112" s="1"/>
      <c r="K112" s="70"/>
      <c r="L112" s="70"/>
      <c r="M112" s="70"/>
      <c r="N112" s="70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</row>
    <row r="113" spans="1:33" ht="15" thickBot="1" x14ac:dyDescent="0.35">
      <c r="A113" s="23" t="s">
        <v>98</v>
      </c>
      <c r="F113" s="1" t="s">
        <v>102</v>
      </c>
      <c r="G113" s="1"/>
      <c r="H113" s="1"/>
      <c r="I113" s="1"/>
      <c r="J113" s="1" t="s">
        <v>130</v>
      </c>
      <c r="K113" s="1" t="s">
        <v>131</v>
      </c>
      <c r="L113" s="70"/>
      <c r="M113" s="70"/>
      <c r="N113" s="70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</row>
    <row r="114" spans="1:33" x14ac:dyDescent="0.3">
      <c r="A114" s="155" t="s">
        <v>9</v>
      </c>
      <c r="B114" s="156"/>
      <c r="C114" s="156"/>
      <c r="D114" s="157"/>
      <c r="E114" s="151"/>
      <c r="F114" s="165" t="s">
        <v>103</v>
      </c>
      <c r="G114" s="165" t="s">
        <v>129</v>
      </c>
      <c r="H114" s="165"/>
      <c r="I114" s="165"/>
      <c r="J114" s="165" t="s">
        <v>132</v>
      </c>
      <c r="K114" s="166" t="s">
        <v>133</v>
      </c>
      <c r="L114" s="70"/>
      <c r="M114" s="70"/>
      <c r="N114" s="70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</row>
    <row r="115" spans="1:33" x14ac:dyDescent="0.3">
      <c r="A115" s="158"/>
      <c r="B115" s="159"/>
      <c r="C115" s="159"/>
      <c r="D115" s="160"/>
      <c r="E115" s="152"/>
      <c r="F115" s="154" t="s">
        <v>104</v>
      </c>
      <c r="G115" s="154" t="s">
        <v>129</v>
      </c>
      <c r="H115" s="154"/>
      <c r="I115" s="154"/>
      <c r="J115" s="154" t="s">
        <v>133</v>
      </c>
      <c r="K115" s="167" t="s">
        <v>132</v>
      </c>
      <c r="L115" s="70"/>
      <c r="M115" s="70"/>
      <c r="N115" s="70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</row>
    <row r="116" spans="1:33" x14ac:dyDescent="0.3">
      <c r="A116" s="158"/>
      <c r="B116" s="159"/>
      <c r="C116" s="159"/>
      <c r="D116" s="160"/>
      <c r="E116" s="152"/>
      <c r="F116" s="154" t="s">
        <v>105</v>
      </c>
      <c r="G116" s="154">
        <v>0</v>
      </c>
      <c r="H116" s="154"/>
      <c r="I116" s="154"/>
      <c r="J116" s="154">
        <v>0</v>
      </c>
      <c r="K116" s="167">
        <v>0</v>
      </c>
      <c r="L116" s="70"/>
      <c r="M116" s="70"/>
      <c r="N116" s="70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</row>
    <row r="117" spans="1:33" x14ac:dyDescent="0.3">
      <c r="A117" s="158"/>
      <c r="B117" s="159"/>
      <c r="C117" s="159"/>
      <c r="D117" s="160"/>
      <c r="E117" s="152"/>
      <c r="F117" s="154"/>
      <c r="G117" s="154"/>
      <c r="H117" s="154"/>
      <c r="I117" s="154"/>
      <c r="J117" s="154"/>
      <c r="K117" s="167"/>
      <c r="L117" s="70"/>
      <c r="M117" s="70"/>
      <c r="N117" s="70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</row>
    <row r="118" spans="1:33" x14ac:dyDescent="0.3">
      <c r="A118" s="158" t="s">
        <v>99</v>
      </c>
      <c r="B118" s="159"/>
      <c r="C118" s="159"/>
      <c r="D118" s="160"/>
      <c r="E118" s="152"/>
      <c r="F118" s="154" t="s">
        <v>106</v>
      </c>
      <c r="G118" s="154" t="s">
        <v>129</v>
      </c>
      <c r="H118" s="154"/>
      <c r="I118" s="154"/>
      <c r="J118" s="154" t="s">
        <v>132</v>
      </c>
      <c r="K118" s="167" t="s">
        <v>133</v>
      </c>
      <c r="L118" s="70"/>
      <c r="M118" s="70"/>
      <c r="N118" s="70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</row>
    <row r="119" spans="1:33" x14ac:dyDescent="0.3">
      <c r="A119" s="158"/>
      <c r="B119" s="159"/>
      <c r="C119" s="159"/>
      <c r="D119" s="160"/>
      <c r="E119" s="152"/>
      <c r="F119" s="154" t="s">
        <v>107</v>
      </c>
      <c r="G119" s="154" t="s">
        <v>129</v>
      </c>
      <c r="H119" s="154"/>
      <c r="I119" s="154"/>
      <c r="J119" s="154" t="s">
        <v>133</v>
      </c>
      <c r="K119" s="167" t="s">
        <v>132</v>
      </c>
      <c r="L119" s="70"/>
      <c r="M119" s="70"/>
      <c r="N119" s="70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</row>
    <row r="120" spans="1:33" x14ac:dyDescent="0.3">
      <c r="A120" s="158"/>
      <c r="B120" s="159"/>
      <c r="C120" s="159"/>
      <c r="D120" s="160"/>
      <c r="E120" s="152"/>
      <c r="F120" s="154" t="s">
        <v>108</v>
      </c>
      <c r="G120" s="154">
        <v>0</v>
      </c>
      <c r="H120" s="154"/>
      <c r="I120" s="154"/>
      <c r="J120" s="154">
        <v>0</v>
      </c>
      <c r="K120" s="167">
        <v>0</v>
      </c>
      <c r="L120" s="70"/>
      <c r="M120" s="70"/>
      <c r="N120" s="70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</row>
    <row r="121" spans="1:33" x14ac:dyDescent="0.3">
      <c r="A121" s="158"/>
      <c r="B121" s="159"/>
      <c r="C121" s="159"/>
      <c r="D121" s="160"/>
      <c r="E121" s="152"/>
      <c r="F121" s="154"/>
      <c r="G121" s="154"/>
      <c r="H121" s="154"/>
      <c r="I121" s="154"/>
      <c r="J121" s="154"/>
      <c r="K121" s="167"/>
      <c r="L121" s="70"/>
      <c r="M121" s="70"/>
      <c r="N121" s="70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</row>
    <row r="122" spans="1:33" x14ac:dyDescent="0.3">
      <c r="A122" s="158" t="s">
        <v>100</v>
      </c>
      <c r="B122" s="159"/>
      <c r="C122" s="159"/>
      <c r="D122" s="160"/>
      <c r="E122" s="152"/>
      <c r="F122" s="154" t="s">
        <v>109</v>
      </c>
      <c r="G122" s="154" t="s">
        <v>129</v>
      </c>
      <c r="H122" s="154"/>
      <c r="I122" s="154"/>
      <c r="J122" s="154" t="s">
        <v>133</v>
      </c>
      <c r="K122" s="168" t="s">
        <v>132</v>
      </c>
      <c r="L122" s="70"/>
      <c r="M122" s="70"/>
      <c r="N122" s="70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</row>
    <row r="123" spans="1:33" x14ac:dyDescent="0.3">
      <c r="A123" s="158"/>
      <c r="B123" s="159"/>
      <c r="C123" s="159"/>
      <c r="D123" s="160"/>
      <c r="E123" s="152"/>
      <c r="F123" s="154" t="s">
        <v>110</v>
      </c>
      <c r="G123" s="154" t="s">
        <v>129</v>
      </c>
      <c r="H123" s="154"/>
      <c r="I123" s="154"/>
      <c r="J123" s="154" t="s">
        <v>132</v>
      </c>
      <c r="K123" s="168" t="s">
        <v>133</v>
      </c>
      <c r="L123" s="70"/>
      <c r="M123" s="70"/>
      <c r="N123" s="70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</row>
    <row r="124" spans="1:33" x14ac:dyDescent="0.3">
      <c r="A124" s="158"/>
      <c r="B124" s="159"/>
      <c r="C124" s="159"/>
      <c r="D124" s="160"/>
      <c r="E124" s="152"/>
      <c r="F124" s="154" t="s">
        <v>111</v>
      </c>
      <c r="G124" s="154">
        <v>0</v>
      </c>
      <c r="H124" s="154"/>
      <c r="I124" s="154"/>
      <c r="J124" s="154">
        <v>0</v>
      </c>
      <c r="K124" s="168">
        <v>0</v>
      </c>
      <c r="L124" s="70"/>
      <c r="M124" s="70"/>
      <c r="N124" s="70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</row>
    <row r="125" spans="1:33" x14ac:dyDescent="0.3">
      <c r="A125" s="158"/>
      <c r="B125" s="159"/>
      <c r="C125" s="159"/>
      <c r="D125" s="160"/>
      <c r="E125" s="152"/>
      <c r="F125" s="154"/>
      <c r="G125" s="154"/>
      <c r="H125" s="154"/>
      <c r="I125" s="154"/>
      <c r="J125" s="154"/>
      <c r="K125" s="168"/>
      <c r="L125" s="70"/>
      <c r="M125" s="70"/>
      <c r="N125" s="70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</row>
    <row r="126" spans="1:33" x14ac:dyDescent="0.3">
      <c r="A126" s="158" t="s">
        <v>101</v>
      </c>
      <c r="B126" s="159"/>
      <c r="C126" s="159"/>
      <c r="D126" s="160"/>
      <c r="E126" s="152"/>
      <c r="F126" s="154" t="s">
        <v>112</v>
      </c>
      <c r="G126" s="154" t="s">
        <v>129</v>
      </c>
      <c r="H126" s="154"/>
      <c r="I126" s="154"/>
      <c r="J126" s="154" t="s">
        <v>133</v>
      </c>
      <c r="K126" s="168" t="s">
        <v>132</v>
      </c>
      <c r="L126" s="70"/>
      <c r="M126" s="70"/>
      <c r="N126" s="70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</row>
    <row r="127" spans="1:33" x14ac:dyDescent="0.3">
      <c r="A127" s="158"/>
      <c r="B127" s="159"/>
      <c r="C127" s="159"/>
      <c r="D127" s="160"/>
      <c r="E127" s="152"/>
      <c r="F127" s="154" t="s">
        <v>113</v>
      </c>
      <c r="G127" s="154" t="s">
        <v>129</v>
      </c>
      <c r="H127" s="154"/>
      <c r="I127" s="154"/>
      <c r="J127" s="154" t="s">
        <v>132</v>
      </c>
      <c r="K127" s="168" t="s">
        <v>133</v>
      </c>
      <c r="L127" s="70"/>
      <c r="M127" s="70"/>
      <c r="N127" s="70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</row>
    <row r="128" spans="1:33" x14ac:dyDescent="0.3">
      <c r="A128" s="158"/>
      <c r="B128" s="159"/>
      <c r="C128" s="159"/>
      <c r="D128" s="160"/>
      <c r="E128" s="152"/>
      <c r="F128" s="154" t="s">
        <v>114</v>
      </c>
      <c r="G128" s="154">
        <v>0</v>
      </c>
      <c r="H128" s="154"/>
      <c r="I128" s="154"/>
      <c r="J128" s="154">
        <v>0</v>
      </c>
      <c r="K128" s="168">
        <v>0</v>
      </c>
      <c r="L128" s="70"/>
      <c r="M128" s="70"/>
      <c r="N128" s="70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</row>
    <row r="129" spans="1:33" x14ac:dyDescent="0.3">
      <c r="A129" s="158"/>
      <c r="B129" s="159"/>
      <c r="C129" s="159"/>
      <c r="D129" s="160"/>
      <c r="E129" s="152"/>
      <c r="F129" s="154"/>
      <c r="G129" s="154"/>
      <c r="H129" s="154"/>
      <c r="I129" s="154"/>
      <c r="J129" s="154"/>
      <c r="K129" s="167"/>
      <c r="L129" s="70"/>
      <c r="M129" s="70"/>
      <c r="N129" s="70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</row>
    <row r="130" spans="1:33" ht="15.6" x14ac:dyDescent="0.35">
      <c r="A130" s="158" t="s">
        <v>10</v>
      </c>
      <c r="B130" s="159"/>
      <c r="C130" s="159"/>
      <c r="D130" s="160"/>
      <c r="E130" s="152"/>
      <c r="F130" s="154" t="s">
        <v>117</v>
      </c>
      <c r="G130" s="154" t="s">
        <v>129</v>
      </c>
      <c r="H130" s="154"/>
      <c r="I130" s="154"/>
      <c r="J130" s="154" t="s">
        <v>132</v>
      </c>
      <c r="K130" s="167" t="s">
        <v>133</v>
      </c>
      <c r="L130" s="70"/>
      <c r="M130" s="70"/>
      <c r="N130" s="70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</row>
    <row r="131" spans="1:33" x14ac:dyDescent="0.3">
      <c r="A131" s="158"/>
      <c r="B131" s="159"/>
      <c r="C131" s="159"/>
      <c r="D131" s="160"/>
      <c r="E131" s="152"/>
      <c r="F131" s="154" t="s">
        <v>115</v>
      </c>
      <c r="G131" s="154" t="s">
        <v>129</v>
      </c>
      <c r="H131" s="154"/>
      <c r="I131" s="154"/>
      <c r="J131" s="154" t="s">
        <v>133</v>
      </c>
      <c r="K131" s="167" t="s">
        <v>132</v>
      </c>
      <c r="L131" s="70"/>
      <c r="M131" s="70"/>
      <c r="N131" s="70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</row>
    <row r="132" spans="1:33" ht="15" thickBot="1" x14ac:dyDescent="0.35">
      <c r="A132" s="161"/>
      <c r="B132" s="162"/>
      <c r="C132" s="162"/>
      <c r="D132" s="163"/>
      <c r="E132" s="153"/>
      <c r="F132" s="169" t="s">
        <v>116</v>
      </c>
      <c r="G132" s="169">
        <v>0</v>
      </c>
      <c r="H132" s="169"/>
      <c r="I132" s="169"/>
      <c r="J132" s="169">
        <v>0</v>
      </c>
      <c r="K132" s="170">
        <v>0</v>
      </c>
      <c r="L132" s="70"/>
      <c r="M132" s="70"/>
      <c r="N132" s="70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</row>
    <row r="133" spans="1:33" x14ac:dyDescent="0.3">
      <c r="A133" s="23"/>
      <c r="B133" s="23"/>
      <c r="C133" s="23"/>
      <c r="D133" s="59"/>
      <c r="G133" s="1"/>
      <c r="H133" s="1"/>
      <c r="I133" s="1"/>
      <c r="J133" s="1"/>
      <c r="K133" s="70"/>
      <c r="L133" s="70"/>
      <c r="M133" s="70"/>
      <c r="N133" s="70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</row>
    <row r="134" spans="1:33" x14ac:dyDescent="0.3">
      <c r="A134" s="23"/>
      <c r="B134" s="23"/>
      <c r="C134" s="23"/>
      <c r="D134" s="59"/>
    </row>
    <row r="135" spans="1:33" x14ac:dyDescent="0.3">
      <c r="A135" s="164" t="s">
        <v>119</v>
      </c>
      <c r="B135" s="23" t="s">
        <v>124</v>
      </c>
      <c r="C135" s="23"/>
      <c r="D135" s="59"/>
    </row>
    <row r="136" spans="1:33" x14ac:dyDescent="0.3">
      <c r="A136" s="164" t="s">
        <v>120</v>
      </c>
      <c r="B136" s="23" t="s">
        <v>125</v>
      </c>
      <c r="C136" s="23"/>
      <c r="D136" s="59"/>
    </row>
    <row r="137" spans="1:33" x14ac:dyDescent="0.3">
      <c r="A137" s="164" t="s">
        <v>121</v>
      </c>
      <c r="B137" s="23" t="s">
        <v>48</v>
      </c>
      <c r="C137" s="23"/>
      <c r="D137" s="59"/>
    </row>
    <row r="138" spans="1:33" x14ac:dyDescent="0.3">
      <c r="A138" s="164" t="s">
        <v>122</v>
      </c>
      <c r="B138" s="23" t="s">
        <v>126</v>
      </c>
      <c r="C138" s="23"/>
      <c r="D138" s="59"/>
    </row>
    <row r="139" spans="1:33" x14ac:dyDescent="0.3">
      <c r="A139" s="164" t="s">
        <v>123</v>
      </c>
      <c r="B139" s="23" t="s">
        <v>127</v>
      </c>
      <c r="C139" s="23"/>
      <c r="D139" s="59"/>
    </row>
    <row r="140" spans="1:33" x14ac:dyDescent="0.3">
      <c r="A140" s="164" t="s">
        <v>118</v>
      </c>
      <c r="B140" s="23" t="s">
        <v>128</v>
      </c>
      <c r="C140" s="23"/>
      <c r="D140" s="59"/>
    </row>
    <row r="141" spans="1:33" x14ac:dyDescent="0.3">
      <c r="A141" s="23"/>
      <c r="B141" s="23"/>
      <c r="C141" s="23"/>
      <c r="D141" s="59"/>
    </row>
    <row r="142" spans="1:33" x14ac:dyDescent="0.3">
      <c r="A142" s="23"/>
      <c r="B142" s="23"/>
      <c r="C142" s="23"/>
      <c r="D142" s="59"/>
    </row>
    <row r="143" spans="1:33" x14ac:dyDescent="0.3">
      <c r="A143" s="23"/>
      <c r="B143" s="23"/>
      <c r="C143" s="23"/>
      <c r="D143" s="59"/>
    </row>
  </sheetData>
  <mergeCells count="25">
    <mergeCell ref="B7:D7"/>
    <mergeCell ref="J20:T20"/>
    <mergeCell ref="B20:D20"/>
    <mergeCell ref="F20:G20"/>
    <mergeCell ref="J19:T19"/>
    <mergeCell ref="B11:D11"/>
    <mergeCell ref="B13:D13"/>
    <mergeCell ref="B15:D15"/>
    <mergeCell ref="J29:K29"/>
    <mergeCell ref="B23:D23"/>
    <mergeCell ref="F23:G23"/>
    <mergeCell ref="B28:D28"/>
    <mergeCell ref="F28:G28"/>
    <mergeCell ref="B27:D27"/>
    <mergeCell ref="F27:G27"/>
    <mergeCell ref="G8:I8"/>
    <mergeCell ref="G11:I11"/>
    <mergeCell ref="G12:I12"/>
    <mergeCell ref="J27:K27"/>
    <mergeCell ref="J23:K23"/>
    <mergeCell ref="G3:I3"/>
    <mergeCell ref="G4:I4"/>
    <mergeCell ref="G5:I5"/>
    <mergeCell ref="G6:I6"/>
    <mergeCell ref="G7:I7"/>
  </mergeCells>
  <pageMargins left="0.7" right="0.7" top="0.78740157499999996" bottom="0.78740157499999996" header="0.3" footer="0.3"/>
  <pageSetup paperSize="9" scale="44" orientation="portrait" r:id="rId1"/>
  <rowBreaks count="2" manualBreakCount="2">
    <brk id="105" max="37" man="1"/>
    <brk id="142" max="3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5"/>
  <sheetViews>
    <sheetView view="pageLayout" topLeftCell="A2" workbookViewId="0">
      <selection activeCell="D24" sqref="D24"/>
    </sheetView>
  </sheetViews>
  <sheetFormatPr baseColWidth="10" defaultRowHeight="14.4" x14ac:dyDescent="0.3"/>
  <cols>
    <col min="1" max="1" width="17.44140625" customWidth="1"/>
  </cols>
  <sheetData>
    <row r="2" spans="1:5" x14ac:dyDescent="0.3">
      <c r="B2" s="13" t="s">
        <v>0</v>
      </c>
      <c r="C2" s="13" t="s">
        <v>81</v>
      </c>
    </row>
    <row r="3" spans="1:5" x14ac:dyDescent="0.3">
      <c r="A3" t="s">
        <v>74</v>
      </c>
      <c r="B3" s="112">
        <v>240000</v>
      </c>
      <c r="C3" s="113">
        <v>180000</v>
      </c>
      <c r="D3" s="5"/>
      <c r="E3" s="5"/>
    </row>
    <row r="4" spans="1:5" x14ac:dyDescent="0.3">
      <c r="A4" t="s">
        <v>75</v>
      </c>
      <c r="B4" s="113">
        <v>12</v>
      </c>
      <c r="C4" s="5">
        <v>10</v>
      </c>
      <c r="D4" s="5"/>
      <c r="E4" s="5"/>
    </row>
    <row r="5" spans="1:5" x14ac:dyDescent="0.3">
      <c r="A5" t="s">
        <v>76</v>
      </c>
      <c r="B5" s="114">
        <v>1.2</v>
      </c>
      <c r="C5" s="110">
        <v>1.1000000000000001</v>
      </c>
      <c r="D5" s="5"/>
      <c r="E5" s="5"/>
    </row>
    <row r="6" spans="1:5" x14ac:dyDescent="0.3">
      <c r="A6" t="s">
        <v>1</v>
      </c>
      <c r="B6" s="5">
        <v>20</v>
      </c>
      <c r="C6" s="5">
        <v>21</v>
      </c>
      <c r="D6" s="5"/>
      <c r="E6" s="5"/>
    </row>
    <row r="7" spans="1:5" x14ac:dyDescent="0.3">
      <c r="A7" t="s">
        <v>77</v>
      </c>
      <c r="B7" s="112">
        <v>60000</v>
      </c>
      <c r="C7" s="5">
        <v>55000</v>
      </c>
      <c r="E7" s="5"/>
    </row>
    <row r="8" spans="1:5" x14ac:dyDescent="0.3">
      <c r="B8" s="5"/>
      <c r="C8" s="5"/>
      <c r="D8" s="5"/>
      <c r="E8" s="5"/>
    </row>
    <row r="9" spans="1:5" x14ac:dyDescent="0.3">
      <c r="B9" s="5"/>
      <c r="C9" s="5"/>
      <c r="D9" s="5"/>
      <c r="E9" s="5"/>
    </row>
    <row r="10" spans="1:5" x14ac:dyDescent="0.3">
      <c r="A10" t="s">
        <v>78</v>
      </c>
      <c r="B10" s="5" t="s">
        <v>79</v>
      </c>
      <c r="C10" s="5" t="s">
        <v>80</v>
      </c>
      <c r="D10" s="5"/>
      <c r="E10" s="5"/>
    </row>
    <row r="11" spans="1:5" x14ac:dyDescent="0.3">
      <c r="A11" s="5">
        <f>+C6*(C3/C4)*C5</f>
        <v>415800.00000000006</v>
      </c>
      <c r="B11" s="5">
        <f>+(B6*(C3/C4)*C5)</f>
        <v>396000.00000000006</v>
      </c>
      <c r="C11" s="5">
        <f>+(C3/B4)*B5*B6</f>
        <v>360000</v>
      </c>
      <c r="D11" s="5">
        <f>+B11*(C3/B3)</f>
        <v>297000.00000000006</v>
      </c>
      <c r="E11" s="111"/>
    </row>
    <row r="12" spans="1:5" x14ac:dyDescent="0.3">
      <c r="A12" s="5"/>
      <c r="B12" s="5">
        <f>-A11</f>
        <v>-415800.00000000006</v>
      </c>
      <c r="C12" s="5">
        <f>-B11</f>
        <v>-396000.00000000006</v>
      </c>
      <c r="D12" s="5"/>
      <c r="E12" s="111"/>
    </row>
    <row r="13" spans="1:5" x14ac:dyDescent="0.3">
      <c r="A13" s="5"/>
      <c r="B13" s="5">
        <f>+B12+B11</f>
        <v>-19800</v>
      </c>
      <c r="C13" s="5">
        <f>+C12+C11</f>
        <v>-36000.000000000058</v>
      </c>
      <c r="D13" s="5"/>
      <c r="E13" s="111"/>
    </row>
    <row r="14" spans="1:5" x14ac:dyDescent="0.3">
      <c r="A14" s="5"/>
      <c r="B14" s="56" t="s">
        <v>83</v>
      </c>
      <c r="C14" s="56" t="s">
        <v>83</v>
      </c>
      <c r="D14" s="5"/>
      <c r="E14" s="111"/>
    </row>
    <row r="15" spans="1:5" x14ac:dyDescent="0.3">
      <c r="A15" s="5" t="s">
        <v>82</v>
      </c>
      <c r="B15" s="5"/>
      <c r="C15" s="5"/>
      <c r="D15" s="5"/>
      <c r="E15" s="111"/>
    </row>
    <row r="16" spans="1:5" x14ac:dyDescent="0.3">
      <c r="A16" s="5"/>
      <c r="B16" s="5"/>
      <c r="C16" s="6"/>
      <c r="D16" s="5"/>
      <c r="E16" s="111"/>
    </row>
    <row r="17" spans="1:6" x14ac:dyDescent="0.3">
      <c r="A17" s="5" t="s">
        <v>84</v>
      </c>
      <c r="B17" s="5"/>
      <c r="C17" s="6"/>
      <c r="D17" s="5"/>
      <c r="E17" s="5"/>
    </row>
    <row r="18" spans="1:6" x14ac:dyDescent="0.3">
      <c r="A18" s="13"/>
      <c r="C18" s="6"/>
      <c r="D18" s="5">
        <f>+C3/C4*C5</f>
        <v>19800</v>
      </c>
      <c r="E18" s="5">
        <f>+D18*C19</f>
        <v>55000</v>
      </c>
      <c r="F18" t="s">
        <v>86</v>
      </c>
    </row>
    <row r="19" spans="1:6" x14ac:dyDescent="0.3">
      <c r="A19" s="13" t="s">
        <v>78</v>
      </c>
      <c r="C19" s="6">
        <f>+C7/(C3/C4*C5)</f>
        <v>2.7777777777777777</v>
      </c>
      <c r="D19" s="5">
        <v>55000</v>
      </c>
      <c r="E19" s="5"/>
      <c r="F19" s="58" t="s">
        <v>46</v>
      </c>
    </row>
    <row r="20" spans="1:6" x14ac:dyDescent="0.3">
      <c r="A20" s="13"/>
      <c r="C20" s="6"/>
      <c r="D20" s="5"/>
      <c r="E20" s="5"/>
    </row>
    <row r="21" spans="1:6" x14ac:dyDescent="0.3">
      <c r="A21" s="116"/>
      <c r="B21" s="5"/>
      <c r="C21" s="6"/>
      <c r="D21" s="5">
        <f>+C3/B4*B5</f>
        <v>18000</v>
      </c>
      <c r="E21" s="5">
        <v>60000</v>
      </c>
    </row>
    <row r="22" spans="1:6" x14ac:dyDescent="0.3">
      <c r="A22" s="117" t="s">
        <v>79</v>
      </c>
      <c r="B22" s="111"/>
      <c r="C22" s="6">
        <f>+C7/(C3/C4*C5)</f>
        <v>2.7777777777777777</v>
      </c>
      <c r="D22" s="5">
        <v>60000</v>
      </c>
      <c r="E22" s="5"/>
    </row>
    <row r="23" spans="1:6" x14ac:dyDescent="0.3">
      <c r="C23" s="2"/>
    </row>
    <row r="24" spans="1:6" x14ac:dyDescent="0.3">
      <c r="A24" s="116" t="s">
        <v>80</v>
      </c>
      <c r="B24" s="5"/>
      <c r="C24" s="115">
        <f>+(B7/((B3/B4)*B5))</f>
        <v>2.5</v>
      </c>
      <c r="D24" s="5">
        <f>+C3/B4*B5*C24</f>
        <v>45000</v>
      </c>
      <c r="E24" s="111">
        <f>+D24</f>
        <v>45000</v>
      </c>
      <c r="F24" t="s">
        <v>85</v>
      </c>
    </row>
    <row r="25" spans="1:6" x14ac:dyDescent="0.3">
      <c r="A25" s="116"/>
      <c r="B25" s="5"/>
      <c r="C25" s="6"/>
      <c r="D25" s="5"/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30"/>
  <sheetViews>
    <sheetView view="pageLayout" topLeftCell="A7" workbookViewId="0">
      <selection activeCell="C29" sqref="C29"/>
    </sheetView>
  </sheetViews>
  <sheetFormatPr baseColWidth="10" defaultColWidth="7.44140625" defaultRowHeight="14.4" x14ac:dyDescent="0.3"/>
  <sheetData>
    <row r="3" spans="1:6" x14ac:dyDescent="0.3">
      <c r="C3" t="s">
        <v>0</v>
      </c>
      <c r="D3" t="s">
        <v>4</v>
      </c>
    </row>
    <row r="4" spans="1:6" x14ac:dyDescent="0.3">
      <c r="A4" t="s">
        <v>89</v>
      </c>
      <c r="C4">
        <v>10000</v>
      </c>
      <c r="D4">
        <v>12000</v>
      </c>
    </row>
    <row r="6" spans="1:6" x14ac:dyDescent="0.3">
      <c r="A6" t="s">
        <v>1</v>
      </c>
      <c r="C6">
        <v>2.5</v>
      </c>
      <c r="D6">
        <v>2.5</v>
      </c>
    </row>
    <row r="7" spans="1:6" x14ac:dyDescent="0.3">
      <c r="A7" t="s">
        <v>90</v>
      </c>
      <c r="C7">
        <v>0.5</v>
      </c>
      <c r="D7">
        <v>0.6</v>
      </c>
    </row>
    <row r="8" spans="1:6" x14ac:dyDescent="0.3">
      <c r="A8" t="s">
        <v>31</v>
      </c>
      <c r="C8">
        <f>+C6-C7</f>
        <v>2</v>
      </c>
      <c r="D8">
        <f>+D6-D7</f>
        <v>1.9</v>
      </c>
    </row>
    <row r="10" spans="1:6" x14ac:dyDescent="0.3">
      <c r="A10" t="s">
        <v>91</v>
      </c>
      <c r="C10">
        <f>1150+300+300+50</f>
        <v>1800</v>
      </c>
      <c r="D10">
        <f>1200+300+400+80</f>
        <v>1980</v>
      </c>
    </row>
    <row r="13" spans="1:6" x14ac:dyDescent="0.3">
      <c r="A13" t="s">
        <v>92</v>
      </c>
    </row>
    <row r="14" spans="1:6" x14ac:dyDescent="0.3">
      <c r="A14" t="s">
        <v>78</v>
      </c>
      <c r="C14">
        <f>+($D$4*$D$7)</f>
        <v>7200</v>
      </c>
      <c r="D14">
        <f>+$D$10</f>
        <v>1980</v>
      </c>
      <c r="E14" s="141">
        <f>SUM($C$14:$D$14)</f>
        <v>9180</v>
      </c>
    </row>
    <row r="15" spans="1:6" x14ac:dyDescent="0.3">
      <c r="A15" t="s">
        <v>79</v>
      </c>
      <c r="E15">
        <f>+$E$16*($D$4/$C$4)</f>
        <v>8160</v>
      </c>
      <c r="F15">
        <f>+$E$14-$E$15</f>
        <v>1020</v>
      </c>
    </row>
    <row r="16" spans="1:6" x14ac:dyDescent="0.3">
      <c r="A16" t="s">
        <v>80</v>
      </c>
      <c r="C16">
        <f>+($C$4*$C$7)</f>
        <v>5000</v>
      </c>
      <c r="D16">
        <f>+$C$10</f>
        <v>1800</v>
      </c>
      <c r="E16" s="141">
        <f>SUM($C$16:$D$16)</f>
        <v>6800</v>
      </c>
    </row>
    <row r="18" spans="1:6" x14ac:dyDescent="0.3">
      <c r="A18" t="s">
        <v>91</v>
      </c>
      <c r="B18" t="s">
        <v>78</v>
      </c>
      <c r="C18">
        <v>1980</v>
      </c>
    </row>
    <row r="19" spans="1:6" x14ac:dyDescent="0.3">
      <c r="B19" t="s">
        <v>79</v>
      </c>
      <c r="C19">
        <v>1800</v>
      </c>
    </row>
    <row r="20" spans="1:6" x14ac:dyDescent="0.3">
      <c r="B20" t="s">
        <v>80</v>
      </c>
    </row>
    <row r="22" spans="1:6" x14ac:dyDescent="0.3">
      <c r="A22" t="s">
        <v>93</v>
      </c>
    </row>
    <row r="23" spans="1:6" x14ac:dyDescent="0.3">
      <c r="A23" t="s">
        <v>78</v>
      </c>
      <c r="C23">
        <f>+($D$4*$D$7)</f>
        <v>7200</v>
      </c>
      <c r="D23">
        <f>+$D$10</f>
        <v>1980</v>
      </c>
      <c r="E23" s="141">
        <f>SUM($C$14:$D$14)</f>
        <v>9180</v>
      </c>
    </row>
    <row r="24" spans="1:6" x14ac:dyDescent="0.3">
      <c r="A24" t="s">
        <v>79</v>
      </c>
      <c r="C24">
        <f>+D4*C7</f>
        <v>6000</v>
      </c>
      <c r="D24">
        <f>+C10</f>
        <v>1800</v>
      </c>
      <c r="E24">
        <f>SUM(C24:D24)</f>
        <v>7800</v>
      </c>
      <c r="F24">
        <f>+$E$14-$E$24</f>
        <v>1380</v>
      </c>
    </row>
    <row r="25" spans="1:6" x14ac:dyDescent="0.3">
      <c r="A25" t="s">
        <v>80</v>
      </c>
      <c r="C25">
        <f>+($C$4*$C$7)</f>
        <v>5000</v>
      </c>
      <c r="D25">
        <f>+$C$10</f>
        <v>1800</v>
      </c>
      <c r="E25" s="141">
        <f>SUM($C$16:$D$16)</f>
        <v>6800</v>
      </c>
    </row>
    <row r="27" spans="1:6" x14ac:dyDescent="0.3">
      <c r="A27" t="s">
        <v>94</v>
      </c>
    </row>
    <row r="28" spans="1:6" x14ac:dyDescent="0.3">
      <c r="A28" t="s">
        <v>78</v>
      </c>
      <c r="C28">
        <f>+($D$4*$D$7)</f>
        <v>7200</v>
      </c>
    </row>
    <row r="29" spans="1:6" x14ac:dyDescent="0.3">
      <c r="A29" t="s">
        <v>79</v>
      </c>
      <c r="C29">
        <f>+D4*C7</f>
        <v>6000</v>
      </c>
      <c r="D29">
        <f>+C28-C29</f>
        <v>1200</v>
      </c>
    </row>
    <row r="30" spans="1:6" x14ac:dyDescent="0.3">
      <c r="A30" t="s">
        <v>80</v>
      </c>
      <c r="C30">
        <f>+($C$4*$C$7)</f>
        <v>5000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1</vt:i4>
      </vt:variant>
    </vt:vector>
  </HeadingPairs>
  <TitlesOfParts>
    <vt:vector size="5" baseType="lpstr">
      <vt:lpstr>A</vt:lpstr>
      <vt:lpstr>B</vt:lpstr>
      <vt:lpstr>C</vt:lpstr>
      <vt:lpstr>D</vt:lpstr>
      <vt:lpstr>B!Druckbereich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Celia</dc:creator>
  <cp:lastModifiedBy>Celia</cp:lastModifiedBy>
  <dcterms:created xsi:type="dcterms:W3CDTF">2014-11-18T09:47:12Z</dcterms:created>
  <dcterms:modified xsi:type="dcterms:W3CDTF">2014-11-19T13:14:33Z</dcterms:modified>
</cp:coreProperties>
</file>